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:\我的资料\A2我的财务\"/>
    </mc:Choice>
  </mc:AlternateContent>
  <xr:revisionPtr revIDLastSave="0" documentId="13_ncr:1_{D46DFD68-5155-454D-BBDB-B3F7CE5EDCFF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历年报表" sheetId="16" r:id="rId1"/>
    <sheet name="2023年度" sheetId="21" r:id="rId2"/>
    <sheet name="2022年度" sheetId="20" r:id="rId3"/>
    <sheet name="2021年度" sheetId="18" r:id="rId4"/>
    <sheet name="2020年度" sheetId="17" r:id="rId5"/>
    <sheet name="2019年度" sheetId="2" r:id="rId6"/>
    <sheet name="2018年度" sheetId="1" r:id="rId7"/>
    <sheet name="2017年度" sheetId="3" r:id="rId8"/>
    <sheet name="2016年度" sheetId="4" r:id="rId9"/>
    <sheet name="2015年度" sheetId="5" r:id="rId10"/>
    <sheet name="2014年度" sheetId="6" r:id="rId11"/>
    <sheet name="2013年度" sheetId="7" r:id="rId12"/>
    <sheet name="2012年度" sheetId="8" r:id="rId13"/>
    <sheet name="2011年度" sheetId="9" r:id="rId14"/>
    <sheet name="2010年度" sheetId="10" r:id="rId15"/>
    <sheet name="2009年度" sheetId="11" r:id="rId16"/>
    <sheet name="2008年度" sheetId="12" r:id="rId17"/>
    <sheet name="2007年度" sheetId="13" r:id="rId18"/>
    <sheet name="2006年度" sheetId="14" r:id="rId19"/>
    <sheet name="2005年度" sheetId="15" r:id="rId20"/>
  </sheets>
  <externalReferences>
    <externalReference r:id="rId21"/>
    <externalReference r:id="rId22"/>
    <externalReference r:id="rId23"/>
    <externalReference r:id="rId2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" i="16" l="1"/>
  <c r="E21" i="21" l="1"/>
  <c r="H2" i="16"/>
  <c r="B8" i="21"/>
  <c r="C19" i="21" l="1"/>
  <c r="C20" i="21" s="1"/>
  <c r="B19" i="21"/>
  <c r="B20" i="21" s="1"/>
  <c r="C18" i="21"/>
  <c r="B18" i="21"/>
  <c r="D18" i="21" s="1"/>
  <c r="E17" i="21"/>
  <c r="D17" i="21"/>
  <c r="E16" i="21"/>
  <c r="D16" i="21"/>
  <c r="E15" i="21"/>
  <c r="D15" i="21"/>
  <c r="C14" i="21"/>
  <c r="C11" i="21"/>
  <c r="B11" i="21"/>
  <c r="E10" i="21" s="1"/>
  <c r="D10" i="21"/>
  <c r="D9" i="21"/>
  <c r="D8" i="21"/>
  <c r="C7" i="21"/>
  <c r="E6" i="21"/>
  <c r="D6" i="21"/>
  <c r="B5" i="21"/>
  <c r="C3" i="21"/>
  <c r="B3" i="21"/>
  <c r="B7" i="21" s="1"/>
  <c r="C12" i="21" l="1"/>
  <c r="C21" i="21" s="1"/>
  <c r="C24" i="21" s="1"/>
  <c r="B12" i="21"/>
  <c r="B22" i="21" s="1"/>
  <c r="D7" i="21"/>
  <c r="D20" i="21"/>
  <c r="C22" i="21"/>
  <c r="E9" i="21"/>
  <c r="D11" i="21"/>
  <c r="D19" i="21"/>
  <c r="B21" i="21" l="1"/>
  <c r="D12" i="21"/>
  <c r="D21" i="21" l="1"/>
  <c r="B23" i="21"/>
  <c r="B24" i="21" l="1"/>
  <c r="D23" i="21"/>
  <c r="H3" i="16" l="1"/>
  <c r="O13" i="16" l="1"/>
  <c r="P13" i="16" s="1"/>
  <c r="O14" i="16"/>
  <c r="P14" i="16" s="1"/>
  <c r="O15" i="16"/>
  <c r="P15" i="16" s="1"/>
  <c r="O16" i="16"/>
  <c r="P16" i="16" s="1"/>
  <c r="O17" i="16"/>
  <c r="P17" i="16" s="1"/>
  <c r="O18" i="16"/>
  <c r="P18" i="16" s="1"/>
  <c r="O19" i="16"/>
  <c r="P19" i="16" s="1"/>
  <c r="O20" i="16"/>
  <c r="P20" i="16" s="1"/>
  <c r="O21" i="16"/>
  <c r="P21" i="16" s="1"/>
  <c r="B8" i="20"/>
  <c r="O4" i="16" l="1"/>
  <c r="O5" i="16"/>
  <c r="O6" i="16"/>
  <c r="O7" i="16"/>
  <c r="O8" i="16"/>
  <c r="O9" i="16"/>
  <c r="P9" i="16" s="1"/>
  <c r="O3" i="16" l="1"/>
  <c r="C2" i="16" s="1"/>
  <c r="I3" i="16"/>
  <c r="L3" i="16"/>
  <c r="F3" i="16"/>
  <c r="P6" i="16"/>
  <c r="R6" i="16"/>
  <c r="P7" i="16"/>
  <c r="R7" i="16"/>
  <c r="P5" i="16"/>
  <c r="R5" i="16"/>
  <c r="P8" i="16"/>
  <c r="R8" i="16"/>
  <c r="P4" i="16"/>
  <c r="R4" i="16"/>
  <c r="M4" i="16"/>
  <c r="F4" i="16"/>
  <c r="G4" i="16"/>
  <c r="H4" i="16"/>
  <c r="I4" i="16"/>
  <c r="J4" i="16"/>
  <c r="K4" i="16"/>
  <c r="L4" i="16"/>
  <c r="E6" i="20"/>
  <c r="D8" i="20"/>
  <c r="C19" i="20"/>
  <c r="C20" i="20" s="1"/>
  <c r="B19" i="20"/>
  <c r="B20" i="20" s="1"/>
  <c r="D18" i="20"/>
  <c r="C18" i="20"/>
  <c r="B18" i="20"/>
  <c r="E17" i="20"/>
  <c r="D17" i="20"/>
  <c r="E16" i="20"/>
  <c r="D16" i="20"/>
  <c r="E15" i="20"/>
  <c r="D15" i="20"/>
  <c r="C14" i="20"/>
  <c r="C11" i="20"/>
  <c r="D10" i="20"/>
  <c r="D9" i="20"/>
  <c r="D6" i="20"/>
  <c r="B5" i="20"/>
  <c r="C3" i="20"/>
  <c r="C7" i="20" s="1"/>
  <c r="B3" i="20"/>
  <c r="B7" i="20" s="1"/>
  <c r="M5" i="16"/>
  <c r="F5" i="16"/>
  <c r="G5" i="16"/>
  <c r="H5" i="16"/>
  <c r="I5" i="16"/>
  <c r="J5" i="16"/>
  <c r="K5" i="16"/>
  <c r="L5" i="16"/>
  <c r="I2" i="16" l="1"/>
  <c r="L2" i="16"/>
  <c r="E2" i="16"/>
  <c r="F2" i="16" s="1"/>
  <c r="J3" i="16"/>
  <c r="D2" i="16"/>
  <c r="J2" i="16" s="1"/>
  <c r="P3" i="16"/>
  <c r="K3" i="16"/>
  <c r="G3" i="16"/>
  <c r="D19" i="20"/>
  <c r="B11" i="20"/>
  <c r="E10" i="20" s="1"/>
  <c r="C12" i="20"/>
  <c r="C21" i="20" s="1"/>
  <c r="C24" i="20" s="1"/>
  <c r="D7" i="20"/>
  <c r="C22" i="20"/>
  <c r="D20" i="20"/>
  <c r="B8" i="18"/>
  <c r="B11" i="18" s="1"/>
  <c r="C15" i="18"/>
  <c r="C18" i="18"/>
  <c r="B18" i="18"/>
  <c r="D18" i="18" s="1"/>
  <c r="E17" i="18"/>
  <c r="D17" i="18"/>
  <c r="E16" i="18"/>
  <c r="D16" i="18"/>
  <c r="C19" i="18"/>
  <c r="B19" i="18"/>
  <c r="C14" i="18"/>
  <c r="C11" i="18"/>
  <c r="D10" i="18"/>
  <c r="D9" i="18"/>
  <c r="D6" i="18"/>
  <c r="B5" i="18"/>
  <c r="C3" i="18"/>
  <c r="C7" i="18" s="1"/>
  <c r="B3" i="18"/>
  <c r="B7" i="18" s="1"/>
  <c r="F6" i="16"/>
  <c r="G6" i="16"/>
  <c r="H6" i="16"/>
  <c r="I6" i="16"/>
  <c r="J6" i="16"/>
  <c r="K6" i="16"/>
  <c r="L6" i="16"/>
  <c r="M6" i="16"/>
  <c r="G2" i="16" l="1"/>
  <c r="K2" i="16"/>
  <c r="B12" i="20"/>
  <c r="B22" i="20" s="1"/>
  <c r="D11" i="20"/>
  <c r="E9" i="20"/>
  <c r="C12" i="18"/>
  <c r="B20" i="18"/>
  <c r="D19" i="18"/>
  <c r="D7" i="18"/>
  <c r="B12" i="18"/>
  <c r="E9" i="18"/>
  <c r="E10" i="18"/>
  <c r="D11" i="18"/>
  <c r="C20" i="18"/>
  <c r="C22" i="18" s="1"/>
  <c r="D8" i="18"/>
  <c r="D15" i="18"/>
  <c r="E15" i="18"/>
  <c r="E16" i="17"/>
  <c r="E17" i="17"/>
  <c r="D6" i="17"/>
  <c r="D17" i="17"/>
  <c r="D16" i="17"/>
  <c r="D10" i="17"/>
  <c r="B15" i="17"/>
  <c r="D15" i="17" s="1"/>
  <c r="C15" i="17"/>
  <c r="C11" i="17"/>
  <c r="B9" i="17"/>
  <c r="B8" i="17"/>
  <c r="D8" i="17" s="1"/>
  <c r="D12" i="20" l="1"/>
  <c r="B21" i="20"/>
  <c r="B22" i="18"/>
  <c r="D20" i="18"/>
  <c r="D12" i="18"/>
  <c r="B21" i="18"/>
  <c r="C21" i="18"/>
  <c r="C24" i="18" s="1"/>
  <c r="E15" i="17"/>
  <c r="E9" i="17"/>
  <c r="D9" i="17"/>
  <c r="B11" i="17"/>
  <c r="B5" i="17"/>
  <c r="C18" i="17"/>
  <c r="C19" i="17" s="1"/>
  <c r="B18" i="17"/>
  <c r="B19" i="17"/>
  <c r="C13" i="17"/>
  <c r="C14" i="17" s="1"/>
  <c r="C3" i="17"/>
  <c r="C7" i="17" s="1"/>
  <c r="C12" i="17" s="1"/>
  <c r="B3" i="17"/>
  <c r="D21" i="20" l="1"/>
  <c r="E21" i="20"/>
  <c r="B23" i="20"/>
  <c r="B24" i="20" s="1"/>
  <c r="D21" i="18"/>
  <c r="B23" i="18"/>
  <c r="C20" i="17"/>
  <c r="C22" i="17" s="1"/>
  <c r="D14" i="17"/>
  <c r="D19" i="17"/>
  <c r="B20" i="17"/>
  <c r="D20" i="17" s="1"/>
  <c r="D18" i="17"/>
  <c r="C21" i="17"/>
  <c r="E10" i="17"/>
  <c r="D11" i="17"/>
  <c r="B7" i="17"/>
  <c r="C21" i="1"/>
  <c r="C19" i="1"/>
  <c r="B13" i="1"/>
  <c r="D23" i="20" l="1"/>
  <c r="B24" i="18"/>
  <c r="D23" i="18"/>
  <c r="C24" i="17"/>
  <c r="B12" i="17"/>
  <c r="D7" i="17"/>
  <c r="M7" i="16"/>
  <c r="M8" i="16"/>
  <c r="F7" i="16"/>
  <c r="G7" i="16"/>
  <c r="H7" i="16"/>
  <c r="I7" i="16"/>
  <c r="J7" i="16"/>
  <c r="K7" i="16"/>
  <c r="L7" i="16"/>
  <c r="F8" i="16"/>
  <c r="G8" i="16"/>
  <c r="H8" i="16"/>
  <c r="I8" i="16"/>
  <c r="J8" i="16"/>
  <c r="K8" i="16"/>
  <c r="L8" i="16"/>
  <c r="F9" i="16"/>
  <c r="G9" i="16"/>
  <c r="L9" i="16"/>
  <c r="M21" i="16"/>
  <c r="N21" i="16" s="1"/>
  <c r="L21" i="16"/>
  <c r="G21" i="16"/>
  <c r="F21" i="16"/>
  <c r="M20" i="16"/>
  <c r="N20" i="16" s="1"/>
  <c r="L20" i="16"/>
  <c r="K20" i="16"/>
  <c r="J20" i="16"/>
  <c r="I20" i="16"/>
  <c r="H20" i="16"/>
  <c r="G20" i="16"/>
  <c r="F20" i="16"/>
  <c r="M19" i="16"/>
  <c r="N19" i="16" s="1"/>
  <c r="L19" i="16"/>
  <c r="K19" i="16"/>
  <c r="J19" i="16"/>
  <c r="I19" i="16"/>
  <c r="H19" i="16"/>
  <c r="G19" i="16"/>
  <c r="F19" i="16"/>
  <c r="M18" i="16"/>
  <c r="N18" i="16" s="1"/>
  <c r="L18" i="16"/>
  <c r="K18" i="16"/>
  <c r="J18" i="16"/>
  <c r="I18" i="16"/>
  <c r="H18" i="16"/>
  <c r="G18" i="16"/>
  <c r="F18" i="16"/>
  <c r="M17" i="16"/>
  <c r="N17" i="16" s="1"/>
  <c r="L17" i="16"/>
  <c r="K17" i="16"/>
  <c r="J17" i="16"/>
  <c r="I17" i="16"/>
  <c r="H17" i="16"/>
  <c r="G17" i="16"/>
  <c r="F17" i="16"/>
  <c r="M16" i="16"/>
  <c r="N16" i="16" s="1"/>
  <c r="L16" i="16"/>
  <c r="K16" i="16"/>
  <c r="J16" i="16"/>
  <c r="I16" i="16"/>
  <c r="H16" i="16"/>
  <c r="G16" i="16"/>
  <c r="F16" i="16"/>
  <c r="M15" i="16"/>
  <c r="N15" i="16" s="1"/>
  <c r="L15" i="16"/>
  <c r="K15" i="16"/>
  <c r="J15" i="16"/>
  <c r="I15" i="16"/>
  <c r="H15" i="16"/>
  <c r="G15" i="16"/>
  <c r="F15" i="16"/>
  <c r="M14" i="16"/>
  <c r="N14" i="16" s="1"/>
  <c r="L14" i="16"/>
  <c r="K14" i="16"/>
  <c r="J14" i="16"/>
  <c r="I14" i="16"/>
  <c r="H14" i="16"/>
  <c r="G14" i="16"/>
  <c r="F14" i="16"/>
  <c r="M13" i="16"/>
  <c r="N13" i="16" s="1"/>
  <c r="L13" i="16"/>
  <c r="K13" i="16"/>
  <c r="J13" i="16"/>
  <c r="I13" i="16"/>
  <c r="H13" i="16"/>
  <c r="G13" i="16"/>
  <c r="F13" i="16"/>
  <c r="C12" i="16"/>
  <c r="B12" i="16"/>
  <c r="E11" i="16"/>
  <c r="D11" i="16"/>
  <c r="C11" i="16"/>
  <c r="B11" i="16"/>
  <c r="E10" i="16"/>
  <c r="D10" i="16"/>
  <c r="J9" i="16" s="1"/>
  <c r="C10" i="16"/>
  <c r="I9" i="16" s="1"/>
  <c r="B10" i="16"/>
  <c r="C20" i="2"/>
  <c r="B13" i="2"/>
  <c r="B14" i="2" s="1"/>
  <c r="C16" i="2"/>
  <c r="B16" i="2"/>
  <c r="B6" i="2"/>
  <c r="B8" i="2"/>
  <c r="B9" i="2"/>
  <c r="O11" i="16" l="1"/>
  <c r="P11" i="16" s="1"/>
  <c r="H9" i="16"/>
  <c r="O10" i="16"/>
  <c r="H12" i="16"/>
  <c r="O12" i="16"/>
  <c r="M10" i="16"/>
  <c r="P10" i="16"/>
  <c r="B21" i="17"/>
  <c r="D12" i="17"/>
  <c r="B22" i="17"/>
  <c r="F11" i="16"/>
  <c r="K9" i="16"/>
  <c r="M9" i="16"/>
  <c r="G11" i="16"/>
  <c r="K10" i="16"/>
  <c r="F10" i="16"/>
  <c r="G10" i="16"/>
  <c r="H11" i="16"/>
  <c r="N10" i="16"/>
  <c r="H10" i="16"/>
  <c r="I12" i="16"/>
  <c r="L12" i="16"/>
  <c r="L10" i="16"/>
  <c r="I10" i="16"/>
  <c r="L11" i="16"/>
  <c r="J10" i="16"/>
  <c r="I11" i="16"/>
  <c r="B23" i="17" l="1"/>
  <c r="D21" i="17"/>
  <c r="B5" i="2"/>
  <c r="B15" i="1"/>
  <c r="B12" i="15"/>
  <c r="B13" i="15" s="1"/>
  <c r="D10" i="15"/>
  <c r="D11" i="15" s="1"/>
  <c r="D10" i="14"/>
  <c r="D11" i="14" s="1"/>
  <c r="B5" i="14"/>
  <c r="B6" i="14" s="1"/>
  <c r="B7" i="14" s="1"/>
  <c r="B12" i="14" s="1"/>
  <c r="B13" i="14" s="1"/>
  <c r="B14" i="14" s="1"/>
  <c r="B17" i="14" s="1"/>
  <c r="B12" i="13"/>
  <c r="D10" i="13"/>
  <c r="D11" i="13" s="1"/>
  <c r="B5" i="13"/>
  <c r="B6" i="13" s="1"/>
  <c r="B13" i="13" s="1"/>
  <c r="B14" i="13" s="1"/>
  <c r="B17" i="13" s="1"/>
  <c r="D10" i="12"/>
  <c r="D11" i="12" s="1"/>
  <c r="B16" i="12" s="1"/>
  <c r="B7" i="12"/>
  <c r="B12" i="12" s="1"/>
  <c r="B13" i="12" s="1"/>
  <c r="D10" i="11"/>
  <c r="D11" i="11" s="1"/>
  <c r="B7" i="11"/>
  <c r="B12" i="11" s="1"/>
  <c r="B13" i="11" s="1"/>
  <c r="D9" i="10"/>
  <c r="D10" i="10" s="1"/>
  <c r="D11" i="10" s="1"/>
  <c r="B9" i="10"/>
  <c r="B12" i="10" s="1"/>
  <c r="B13" i="10" s="1"/>
  <c r="B30" i="9"/>
  <c r="C28" i="9"/>
  <c r="B28" i="9"/>
  <c r="C21" i="9"/>
  <c r="C20" i="9"/>
  <c r="C19" i="9"/>
  <c r="B15" i="9"/>
  <c r="E21" i="9" s="1"/>
  <c r="D9" i="9"/>
  <c r="D10" i="9" s="1"/>
  <c r="D11" i="9" s="1"/>
  <c r="B9" i="9"/>
  <c r="B12" i="9" s="1"/>
  <c r="B6" i="9"/>
  <c r="C103" i="8"/>
  <c r="C102" i="8"/>
  <c r="C101" i="8"/>
  <c r="B96" i="8"/>
  <c r="B103" i="8" s="1"/>
  <c r="D91" i="8"/>
  <c r="D92" i="8" s="1"/>
  <c r="B91" i="8"/>
  <c r="D90" i="8"/>
  <c r="B90" i="8"/>
  <c r="B88" i="8"/>
  <c r="B87" i="8"/>
  <c r="C79" i="8"/>
  <c r="C78" i="8"/>
  <c r="C77" i="8"/>
  <c r="B72" i="8"/>
  <c r="B79" i="8" s="1"/>
  <c r="B67" i="8"/>
  <c r="D66" i="8"/>
  <c r="D67" i="8" s="1"/>
  <c r="D68" i="8" s="1"/>
  <c r="B73" i="8" s="1"/>
  <c r="B66" i="8"/>
  <c r="B64" i="8"/>
  <c r="B69" i="8" s="1"/>
  <c r="B70" i="8" s="1"/>
  <c r="B63" i="8"/>
  <c r="C53" i="8"/>
  <c r="C52" i="8"/>
  <c r="C51" i="8"/>
  <c r="B46" i="8"/>
  <c r="B53" i="8" s="1"/>
  <c r="B41" i="8"/>
  <c r="D40" i="8"/>
  <c r="D41" i="8" s="1"/>
  <c r="D42" i="8" s="1"/>
  <c r="B40" i="8"/>
  <c r="B38" i="8"/>
  <c r="B43" i="8" s="1"/>
  <c r="B44" i="8" s="1"/>
  <c r="B37" i="8"/>
  <c r="C22" i="8"/>
  <c r="C21" i="8"/>
  <c r="C20" i="8"/>
  <c r="B15" i="8"/>
  <c r="B22" i="8" s="1"/>
  <c r="B11" i="8"/>
  <c r="D10" i="8"/>
  <c r="D11" i="8" s="1"/>
  <c r="B10" i="8"/>
  <c r="D9" i="8"/>
  <c r="B9" i="8"/>
  <c r="B7" i="8"/>
  <c r="B6" i="8"/>
  <c r="B98" i="7"/>
  <c r="B86" i="7"/>
  <c r="B82" i="7"/>
  <c r="B81" i="7"/>
  <c r="D80" i="7"/>
  <c r="D81" i="7" s="1"/>
  <c r="D82" i="7" s="1"/>
  <c r="F78" i="7"/>
  <c r="B78" i="7"/>
  <c r="B77" i="7"/>
  <c r="B62" i="7"/>
  <c r="B58" i="7"/>
  <c r="D57" i="7"/>
  <c r="D58" i="7" s="1"/>
  <c r="B57" i="7"/>
  <c r="D56" i="7"/>
  <c r="B55" i="7"/>
  <c r="B54" i="7"/>
  <c r="B52" i="7"/>
  <c r="B53" i="7" s="1"/>
  <c r="B41" i="7"/>
  <c r="B37" i="7"/>
  <c r="B36" i="7"/>
  <c r="B38" i="7" s="1"/>
  <c r="D35" i="7"/>
  <c r="D36" i="7" s="1"/>
  <c r="D37" i="7" s="1"/>
  <c r="B34" i="7"/>
  <c r="B33" i="7"/>
  <c r="B31" i="7"/>
  <c r="B32" i="7" s="1"/>
  <c r="C24" i="7"/>
  <c r="C23" i="7"/>
  <c r="B16" i="7"/>
  <c r="B25" i="7" s="1"/>
  <c r="B12" i="7"/>
  <c r="B11" i="7"/>
  <c r="D10" i="7"/>
  <c r="D11" i="7" s="1"/>
  <c r="D12" i="7" s="1"/>
  <c r="B9" i="7"/>
  <c r="B8" i="7"/>
  <c r="B13" i="7" s="1"/>
  <c r="B6" i="7"/>
  <c r="B7" i="7" s="1"/>
  <c r="B35" i="6"/>
  <c r="D30" i="6"/>
  <c r="D31" i="6" s="1"/>
  <c r="B30" i="6"/>
  <c r="D29" i="6"/>
  <c r="B27" i="6"/>
  <c r="B25" i="6"/>
  <c r="B26" i="6" s="1"/>
  <c r="B16" i="6"/>
  <c r="B11" i="6"/>
  <c r="D10" i="6"/>
  <c r="D11" i="6" s="1"/>
  <c r="D12" i="6" s="1"/>
  <c r="B10" i="6"/>
  <c r="B13" i="6" s="1"/>
  <c r="B9" i="6"/>
  <c r="B8" i="6"/>
  <c r="B6" i="6"/>
  <c r="B7" i="6" s="1"/>
  <c r="B35" i="5"/>
  <c r="B30" i="5"/>
  <c r="D29" i="5"/>
  <c r="D30" i="5" s="1"/>
  <c r="D31" i="5" s="1"/>
  <c r="B29" i="5"/>
  <c r="B28" i="5"/>
  <c r="B27" i="5"/>
  <c r="B25" i="5"/>
  <c r="B26" i="5" s="1"/>
  <c r="B16" i="5"/>
  <c r="D10" i="5"/>
  <c r="D11" i="5" s="1"/>
  <c r="D12" i="5" s="1"/>
  <c r="B9" i="5"/>
  <c r="B8" i="5"/>
  <c r="B13" i="5" s="1"/>
  <c r="B6" i="5"/>
  <c r="B7" i="5" s="1"/>
  <c r="G5" i="5"/>
  <c r="G4" i="5"/>
  <c r="B58" i="4"/>
  <c r="D52" i="4"/>
  <c r="D53" i="4" s="1"/>
  <c r="D54" i="4" s="1"/>
  <c r="B52" i="4"/>
  <c r="B51" i="4"/>
  <c r="B50" i="4"/>
  <c r="B48" i="4"/>
  <c r="B49" i="4" s="1"/>
  <c r="B39" i="4"/>
  <c r="D33" i="4"/>
  <c r="D34" i="4" s="1"/>
  <c r="D35" i="4" s="1"/>
  <c r="B33" i="4"/>
  <c r="B32" i="4"/>
  <c r="B31" i="4"/>
  <c r="B36" i="4" s="1"/>
  <c r="B29" i="4"/>
  <c r="B30" i="4" s="1"/>
  <c r="G17" i="4"/>
  <c r="H17" i="4" s="1"/>
  <c r="H16" i="4"/>
  <c r="H15" i="4"/>
  <c r="H14" i="4"/>
  <c r="D10" i="4"/>
  <c r="D11" i="4" s="1"/>
  <c r="D12" i="4" s="1"/>
  <c r="B10" i="4"/>
  <c r="B9" i="4"/>
  <c r="B8" i="4"/>
  <c r="B6" i="4"/>
  <c r="B7" i="4" s="1"/>
  <c r="D48" i="3"/>
  <c r="D49" i="3" s="1"/>
  <c r="D50" i="3" s="1"/>
  <c r="B48" i="3"/>
  <c r="B47" i="3"/>
  <c r="B46" i="3"/>
  <c r="B51" i="3" s="1"/>
  <c r="B45" i="3"/>
  <c r="B44" i="3"/>
  <c r="D29" i="3"/>
  <c r="D30" i="3" s="1"/>
  <c r="D31" i="3" s="1"/>
  <c r="B29" i="3"/>
  <c r="B27" i="3"/>
  <c r="B25" i="3"/>
  <c r="B26" i="3" s="1"/>
  <c r="D11" i="3"/>
  <c r="D12" i="3" s="1"/>
  <c r="D10" i="3"/>
  <c r="B10" i="3"/>
  <c r="B8" i="3"/>
  <c r="B13" i="3" s="1"/>
  <c r="B7" i="3"/>
  <c r="B6" i="3"/>
  <c r="C30" i="9"/>
  <c r="B52" i="3" l="1"/>
  <c r="B37" i="4"/>
  <c r="B38" i="4" s="1"/>
  <c r="B41" i="4" s="1"/>
  <c r="B39" i="7"/>
  <c r="B40" i="7" s="1"/>
  <c r="B43" i="7" s="1"/>
  <c r="B59" i="7"/>
  <c r="B83" i="7"/>
  <c r="B84" i="7" s="1"/>
  <c r="B85" i="7" s="1"/>
  <c r="B12" i="8"/>
  <c r="B13" i="8" s="1"/>
  <c r="B93" i="8"/>
  <c r="B94" i="8" s="1"/>
  <c r="E101" i="8" s="1"/>
  <c r="B21" i="9"/>
  <c r="B16" i="15"/>
  <c r="B17" i="4"/>
  <c r="B32" i="6"/>
  <c r="B33" i="6" s="1"/>
  <c r="B34" i="6" s="1"/>
  <c r="B14" i="10"/>
  <c r="B17" i="10" s="1"/>
  <c r="B14" i="11"/>
  <c r="B17" i="11" s="1"/>
  <c r="B14" i="3"/>
  <c r="E9" i="3" s="1"/>
  <c r="B32" i="3"/>
  <c r="B13" i="4"/>
  <c r="B14" i="4" s="1"/>
  <c r="B55" i="4"/>
  <c r="B13" i="9"/>
  <c r="B19" i="9" s="1"/>
  <c r="B14" i="12"/>
  <c r="B17" i="12" s="1"/>
  <c r="B24" i="17"/>
  <c r="D23" i="17"/>
  <c r="E103" i="8"/>
  <c r="D28" i="9"/>
  <c r="E28" i="9" s="1"/>
  <c r="B32" i="5"/>
  <c r="B33" i="5" s="1"/>
  <c r="B36" i="5" s="1"/>
  <c r="D12" i="16"/>
  <c r="D22" i="8"/>
  <c r="E22" i="8"/>
  <c r="D30" i="9"/>
  <c r="E30" i="9" s="1"/>
  <c r="B14" i="15"/>
  <c r="B17" i="15" s="1"/>
  <c r="B16" i="14"/>
  <c r="B16" i="13"/>
  <c r="B16" i="11"/>
  <c r="B16" i="10"/>
  <c r="E19" i="9"/>
  <c r="B16" i="9"/>
  <c r="D21" i="9"/>
  <c r="B51" i="8"/>
  <c r="B45" i="8"/>
  <c r="B52" i="8" s="1"/>
  <c r="E79" i="8"/>
  <c r="D79" i="8"/>
  <c r="B16" i="8"/>
  <c r="E53" i="8"/>
  <c r="D53" i="8"/>
  <c r="B95" i="8"/>
  <c r="D20" i="8"/>
  <c r="B20" i="8"/>
  <c r="B14" i="8"/>
  <c r="E20" i="8"/>
  <c r="B47" i="8"/>
  <c r="B77" i="8"/>
  <c r="B71" i="8"/>
  <c r="E77" i="8"/>
  <c r="D77" i="8"/>
  <c r="B48" i="8"/>
  <c r="B74" i="8"/>
  <c r="D103" i="8"/>
  <c r="B60" i="7"/>
  <c r="B61" i="7" s="1"/>
  <c r="B64" i="7" s="1"/>
  <c r="B63" i="7"/>
  <c r="B88" i="7"/>
  <c r="B14" i="7"/>
  <c r="B87" i="7"/>
  <c r="B14" i="6"/>
  <c r="B15" i="6" s="1"/>
  <c r="B18" i="6" s="1"/>
  <c r="B37" i="6"/>
  <c r="B14" i="5"/>
  <c r="B15" i="5" s="1"/>
  <c r="B18" i="5"/>
  <c r="E32" i="4"/>
  <c r="B15" i="4"/>
  <c r="B16" i="4" s="1"/>
  <c r="B18" i="4" s="1"/>
  <c r="B56" i="4"/>
  <c r="B57" i="4" s="1"/>
  <c r="B59" i="4"/>
  <c r="E9" i="4"/>
  <c r="B40" i="4"/>
  <c r="E51" i="4"/>
  <c r="B60" i="4"/>
  <c r="E47" i="3"/>
  <c r="B53" i="3"/>
  <c r="B56" i="3" s="1"/>
  <c r="B33" i="3"/>
  <c r="B55" i="3"/>
  <c r="B5" i="1"/>
  <c r="B101" i="8" l="1"/>
  <c r="D19" i="9"/>
  <c r="B42" i="7"/>
  <c r="B36" i="6"/>
  <c r="B17" i="3"/>
  <c r="B15" i="3"/>
  <c r="B16" i="3" s="1"/>
  <c r="B18" i="3" s="1"/>
  <c r="D101" i="8"/>
  <c r="B14" i="9"/>
  <c r="E20" i="9" s="1"/>
  <c r="B97" i="8"/>
  <c r="C25" i="7"/>
  <c r="D25" i="7" s="1"/>
  <c r="E25" i="7" s="1"/>
  <c r="B31" i="9"/>
  <c r="D31" i="9"/>
  <c r="D32" i="9" s="1"/>
  <c r="E12" i="16"/>
  <c r="P12" i="16" s="1"/>
  <c r="B17" i="6"/>
  <c r="J12" i="16"/>
  <c r="J11" i="16"/>
  <c r="J22" i="16" s="1"/>
  <c r="B17" i="9"/>
  <c r="C29" i="9" s="1"/>
  <c r="D21" i="8"/>
  <c r="B21" i="8"/>
  <c r="E21" i="8"/>
  <c r="B17" i="8"/>
  <c r="B78" i="8"/>
  <c r="E78" i="8"/>
  <c r="D78" i="8"/>
  <c r="D52" i="8"/>
  <c r="E52" i="8"/>
  <c r="E102" i="8"/>
  <c r="B98" i="8"/>
  <c r="D102" i="8"/>
  <c r="B102" i="8"/>
  <c r="E51" i="8"/>
  <c r="D51" i="8"/>
  <c r="B23" i="7"/>
  <c r="D23" i="7" s="1"/>
  <c r="E23" i="7" s="1"/>
  <c r="B15" i="7"/>
  <c r="B17" i="7"/>
  <c r="B17" i="5"/>
  <c r="B34" i="5"/>
  <c r="B37" i="5" s="1"/>
  <c r="E28" i="5"/>
  <c r="E9" i="5"/>
  <c r="E28" i="3"/>
  <c r="B34" i="3"/>
  <c r="B36" i="3"/>
  <c r="C19" i="2"/>
  <c r="C22" i="2" s="1"/>
  <c r="C15" i="2"/>
  <c r="C11" i="2"/>
  <c r="C5" i="2"/>
  <c r="C3" i="2"/>
  <c r="B14" i="1"/>
  <c r="B16" i="1" s="1"/>
  <c r="B17" i="1" s="1"/>
  <c r="B19" i="1" s="1"/>
  <c r="B20" i="9" l="1"/>
  <c r="D20" i="9" s="1"/>
  <c r="B29" i="9"/>
  <c r="E31" i="9"/>
  <c r="C31" i="9"/>
  <c r="B32" i="9"/>
  <c r="B33" i="9" s="1"/>
  <c r="M12" i="16"/>
  <c r="N12" i="16" s="1"/>
  <c r="K11" i="16"/>
  <c r="F12" i="16"/>
  <c r="F22" i="16" s="1"/>
  <c r="G12" i="16"/>
  <c r="M11" i="16"/>
  <c r="N11" i="16" s="1"/>
  <c r="K12" i="16"/>
  <c r="E32" i="9"/>
  <c r="D33" i="9"/>
  <c r="C32" i="9"/>
  <c r="D29" i="9"/>
  <c r="E29" i="9" s="1"/>
  <c r="B24" i="7"/>
  <c r="D24" i="7" s="1"/>
  <c r="E24" i="7" s="1"/>
  <c r="B18" i="7"/>
  <c r="D34" i="3"/>
  <c r="B37" i="3"/>
  <c r="B15" i="2"/>
  <c r="B17" i="2" s="1"/>
  <c r="B18" i="2" s="1"/>
  <c r="B10" i="2"/>
  <c r="B11" i="2" s="1"/>
  <c r="B3" i="2"/>
  <c r="B7" i="2" s="1"/>
  <c r="B3" i="1"/>
  <c r="B6" i="1" s="1"/>
  <c r="B10" i="1" s="1"/>
  <c r="B18" i="1"/>
  <c r="B20" i="1" s="1"/>
  <c r="B21" i="1" s="1"/>
  <c r="E33" i="9" l="1"/>
  <c r="C33" i="9"/>
  <c r="B12" i="2"/>
  <c r="B19" i="2" s="1"/>
  <c r="B21" i="2" s="1"/>
  <c r="B22" i="2" s="1"/>
  <c r="B20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" authorId="0" shapeId="0" xr:uid="{16CF8530-6C49-4F6E-8795-F52DFA406A3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深圳宝安福永菁英领寓2栋2411，贷款约</t>
        </r>
        <r>
          <rPr>
            <sz val="9"/>
            <color indexed="81"/>
            <rFont val="宋体"/>
            <family val="3"/>
            <charset val="134"/>
          </rPr>
          <t>75W。</t>
        </r>
      </text>
    </comment>
    <comment ref="F3" authorId="0" shapeId="0" xr:uid="{44B07EE2-C9D8-4656-87FA-D63140D6C22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对标凤凰花苑</t>
        </r>
      </text>
    </comment>
    <comment ref="B4" authorId="0" shapeId="0" xr:uid="{B94E10F6-0AE2-4F40-AA6C-D4DD66AAFE8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成都金牛区华侨城纯水岸68栋1单元1204，成本</t>
        </r>
        <r>
          <rPr>
            <sz val="9"/>
            <color indexed="81"/>
            <rFont val="宋体"/>
            <family val="3"/>
            <charset val="134"/>
          </rPr>
          <t>106W，</t>
        </r>
        <r>
          <rPr>
            <sz val="9"/>
            <color indexed="81"/>
            <rFont val="宋体"/>
            <family val="3"/>
            <charset val="134"/>
          </rPr>
          <t>首付</t>
        </r>
        <r>
          <rPr>
            <sz val="9"/>
            <color indexed="81"/>
            <rFont val="宋体"/>
            <family val="3"/>
            <charset val="134"/>
          </rPr>
          <t>56W</t>
        </r>
      </text>
    </comment>
    <comment ref="B5" authorId="0" shapeId="0" xr:uid="{FA58B6EB-8430-4D77-B807-372D170E2E7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=德盛阁租房押金</t>
        </r>
        <r>
          <rPr>
            <sz val="9"/>
            <color indexed="81"/>
            <rFont val="宋体"/>
            <family val="3"/>
            <charset val="134"/>
          </rPr>
          <t>+图书馆读者证押金</t>
        </r>
      </text>
    </comment>
    <comment ref="B6" authorId="0" shapeId="0" xr:uid="{55F68013-17AE-48F0-865F-37E4B5624C1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数据来源：粤省事/深圳/公积金
或深圳市住房公积金管理中心</t>
        </r>
      </text>
    </comment>
    <comment ref="B8" authorId="0" shapeId="0" xr:uid="{5382E3A6-B4D0-4AAF-A060-889E29CD4C9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=3900+206+264043+11165+154180-113210
中行3990+证券资金+交行+微信+华侨永亨银行</t>
        </r>
      </text>
    </comment>
    <comment ref="B9" authorId="0" shapeId="0" xr:uid="{0BA8C59A-447A-402F-B450-F3E99C25E57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数据来源：新公司估值计算.持仓/购买成本普通股购买合计。</t>
        </r>
      </text>
    </comment>
    <comment ref="E9" authorId="0" shapeId="0" xr:uid="{9DA18B11-AE19-4DFA-8E7E-D6161E4C98E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证券资产占流动资产的比例</t>
        </r>
      </text>
    </comment>
    <comment ref="B10" authorId="0" shapeId="0" xr:uid="{69D73AB4-E06D-4820-868E-9E9AACC0BA2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数据来源：微众银行，总资产</t>
        </r>
      </text>
    </comment>
    <comment ref="E10" authorId="0" shapeId="0" xr:uid="{EA0CB4F9-4EE5-4753-9B2D-861260AB3DC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理财资产占流动资产的比例</t>
        </r>
      </text>
    </comment>
    <comment ref="B15" authorId="0" shapeId="0" xr:uid="{B40997F2-8268-45DE-9649-8422A213A1D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数据来源：中国银行/我的贷款/剩余应还本金</t>
        </r>
      </text>
    </comment>
    <comment ref="B16" authorId="0" shapeId="0" xr:uid="{FDD0B34E-357E-4E1D-BF06-D440DE6610B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数据来源：粤省事/公积金/贷后变更/剩余本金</t>
        </r>
      </text>
    </comment>
    <comment ref="B17" authorId="0" shapeId="0" xr:uid="{3D4D8BCC-8F70-48A1-8C63-397E8050737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数据来源：建行手机银行/贷款</t>
        </r>
      </text>
    </comment>
    <comment ref="F21" authorId="0" shapeId="0" xr:uid="{6A7EF1D0-3A58-4EA0-9ED3-A1709FC8257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财务自由完成度=净资产/(年度支出*2/4%)</t>
        </r>
      </text>
    </comment>
    <comment ref="A23" authorId="0" shapeId="0" xr:uid="{8304A840-EB36-45D5-80E5-88B5BCB8541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该项净收入用净资产年度同比变化统计。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" authorId="0" shapeId="0" xr:uid="{E1ABACC5-A32A-4131-AC08-C87A34FE53B2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深圳宝安福永菁英领寓2栋2411，贷款约</t>
        </r>
        <r>
          <rPr>
            <sz val="9"/>
            <color indexed="81"/>
            <rFont val="宋体"/>
            <family val="3"/>
            <charset val="134"/>
          </rPr>
          <t>75W。</t>
        </r>
      </text>
    </comment>
    <comment ref="F3" authorId="0" shapeId="0" xr:uid="{61DDB0BC-0B6C-4A7D-ACE7-49484EDA783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对标凤凰花苑</t>
        </r>
      </text>
    </comment>
    <comment ref="B4" authorId="0" shapeId="0" xr:uid="{F8889B81-41FC-43B2-AECB-F9DE0DB224F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成都金牛区华侨城纯水岸68栋1单元1204，成本</t>
        </r>
        <r>
          <rPr>
            <sz val="9"/>
            <color indexed="81"/>
            <rFont val="宋体"/>
            <family val="3"/>
            <charset val="134"/>
          </rPr>
          <t>106W，</t>
        </r>
        <r>
          <rPr>
            <sz val="9"/>
            <color indexed="81"/>
            <rFont val="宋体"/>
            <family val="3"/>
            <charset val="134"/>
          </rPr>
          <t>首付</t>
        </r>
        <r>
          <rPr>
            <sz val="9"/>
            <color indexed="81"/>
            <rFont val="宋体"/>
            <family val="3"/>
            <charset val="134"/>
          </rPr>
          <t>56W</t>
        </r>
      </text>
    </comment>
    <comment ref="B5" authorId="0" shapeId="0" xr:uid="{24990752-7A46-48E1-B827-4CC1D7284D8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=德盛阁租房押金</t>
        </r>
        <r>
          <rPr>
            <sz val="9"/>
            <color indexed="81"/>
            <rFont val="宋体"/>
            <family val="3"/>
            <charset val="134"/>
          </rPr>
          <t>+图书馆读者证押金</t>
        </r>
      </text>
    </comment>
    <comment ref="B6" authorId="0" shapeId="0" xr:uid="{7C07BB04-FEF7-449D-96B0-9A8A9E5F1A7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数据来源：粤省事/深圳/公积金
或深圳市住房公积金管理中心</t>
        </r>
      </text>
    </comment>
    <comment ref="B8" authorId="0" shapeId="0" xr:uid="{7AEAC130-5A71-4890-992C-1BD057B954B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=中行3990+证券资金+交行+微信+华侨永亨银行</t>
        </r>
      </text>
    </comment>
    <comment ref="B9" authorId="0" shapeId="0" xr:uid="{08E3E677-ED83-49DD-AB46-F41C487279A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数据来源：新公司估值计算.持仓&gt;购买成本。</t>
        </r>
      </text>
    </comment>
    <comment ref="E9" authorId="0" shapeId="0" xr:uid="{945F98DB-27F3-4ABF-BD18-54F80AF2875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证券资产占流动资产的比例</t>
        </r>
      </text>
    </comment>
    <comment ref="B10" authorId="0" shapeId="0" xr:uid="{6ADD3439-419F-419C-863E-79BABC28E00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数据来源：微众银行，总资产</t>
        </r>
      </text>
    </comment>
    <comment ref="E10" authorId="0" shapeId="0" xr:uid="{77507724-08DD-48DA-B739-9013CFA3E26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理财资产占流动资产的比例</t>
        </r>
      </text>
    </comment>
    <comment ref="B15" authorId="0" shapeId="0" xr:uid="{B120C04C-C495-4B9C-8A82-104C002C5DF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数据来源：中国银行/我的贷款/剩余应还本金</t>
        </r>
      </text>
    </comment>
    <comment ref="B16" authorId="0" shapeId="0" xr:uid="{6F6D14FA-CC3C-459A-A77A-D3A1B412B54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数据来源：粤省事/公积金/贷后变更/剩余本金</t>
        </r>
      </text>
    </comment>
    <comment ref="B17" authorId="0" shapeId="0" xr:uid="{17C602FF-9734-4C95-85A7-47243E3EE00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数据来源：建行手机银行/贷款</t>
        </r>
      </text>
    </comment>
    <comment ref="F21" authorId="0" shapeId="0" xr:uid="{3F8D95EF-411C-4A69-8A92-782D9AF302A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财务自由完成度=净资产/(年度支出*2/4%)</t>
        </r>
      </text>
    </comment>
    <comment ref="A23" authorId="0" shapeId="0" xr:uid="{85113A6A-4BB6-4934-A608-1930FC10E6A2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该项净收入用净资产年度同比变化统计。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" authorId="0" shapeId="0" xr:uid="{1D309F2D-0DF0-4FDD-BBCF-E0FF7D89999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深圳宝安福永菁英领寓2栋2411，贷款约</t>
        </r>
        <r>
          <rPr>
            <sz val="9"/>
            <color indexed="81"/>
            <rFont val="宋体"/>
            <family val="3"/>
            <charset val="134"/>
          </rPr>
          <t>75W。</t>
        </r>
      </text>
    </comment>
    <comment ref="B4" authorId="0" shapeId="0" xr:uid="{CEE687EA-C875-42AD-994F-9AC421D1AB9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成都金牛区华侨城纯水岸68栋1单元1204，成本</t>
        </r>
        <r>
          <rPr>
            <sz val="9"/>
            <color indexed="81"/>
            <rFont val="宋体"/>
            <family val="3"/>
            <charset val="134"/>
          </rPr>
          <t>106W，</t>
        </r>
        <r>
          <rPr>
            <sz val="9"/>
            <color indexed="81"/>
            <rFont val="宋体"/>
            <family val="3"/>
            <charset val="134"/>
          </rPr>
          <t>首付</t>
        </r>
        <r>
          <rPr>
            <sz val="9"/>
            <color indexed="81"/>
            <rFont val="宋体"/>
            <family val="3"/>
            <charset val="134"/>
          </rPr>
          <t>56W</t>
        </r>
      </text>
    </comment>
    <comment ref="B5" authorId="0" shapeId="0" xr:uid="{FD3C1A9E-0ACD-4D5C-A222-E9D87A17381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=德盛阁租房押金</t>
        </r>
        <r>
          <rPr>
            <sz val="9"/>
            <color indexed="81"/>
            <rFont val="宋体"/>
            <family val="3"/>
            <charset val="134"/>
          </rPr>
          <t>+图书馆读者证押金</t>
        </r>
      </text>
    </comment>
    <comment ref="B6" authorId="0" shapeId="0" xr:uid="{D7F8CF07-A3A3-44F1-A05D-D3D6E495A92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数据来源：粤省事公众号</t>
        </r>
      </text>
    </comment>
    <comment ref="B8" authorId="0" shapeId="0" xr:uid="{1A63C1BD-9565-47C9-8364-581A55C9322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=中行3990</t>
        </r>
        <r>
          <rPr>
            <sz val="9"/>
            <color indexed="81"/>
            <rFont val="宋体"/>
            <family val="3"/>
            <charset val="134"/>
          </rPr>
          <t>+证券资金</t>
        </r>
      </text>
    </comment>
    <comment ref="B9" authorId="0" shapeId="0" xr:uid="{D81F1E59-CF58-49A6-9DF4-53021027EC2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数据来源：新公司估值计算.持仓。</t>
        </r>
      </text>
    </comment>
    <comment ref="E9" authorId="0" shapeId="0" xr:uid="{DE1E1A04-BAB0-415E-B2C3-3BC8E304BA2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证券资产占流动资产的比例</t>
        </r>
      </text>
    </comment>
    <comment ref="B10" authorId="0" shapeId="0" xr:uid="{DE317E39-AC63-4051-8661-A4F3E298F5F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数据来源：微众银行，总资产</t>
        </r>
      </text>
    </comment>
    <comment ref="E10" authorId="0" shapeId="0" xr:uid="{53C5A097-EC2B-4EC3-AC5B-C523D70A79E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理财资产占流动资产的比例</t>
        </r>
      </text>
    </comment>
    <comment ref="B15" authorId="0" shapeId="0" xr:uid="{2D9469AE-3222-4283-AE47-983724D46E5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数据来源：中国银行/我的贷款</t>
        </r>
      </text>
    </comment>
    <comment ref="C15" authorId="0" shapeId="0" xr:uid="{6DBE6F8D-7761-46C9-92BB-E8CFB580C59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=深圳领寓贷款（中行）+深圳领寓贷款（公积金）+成都华侨城贷款（建行）</t>
        </r>
      </text>
    </comment>
    <comment ref="B16" authorId="0" shapeId="0" xr:uid="{C3B9ECC0-66C0-4B11-8394-0FE63FBD8BD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数据来源：粤省事/贷后变更</t>
        </r>
      </text>
    </comment>
    <comment ref="B17" authorId="0" shapeId="0" xr:uid="{F6403726-EDB5-4E1A-AED1-FAA69C8806F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数据来源：建行手机银行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" authorId="0" shapeId="0" xr:uid="{8488C705-5D7A-4D3F-8432-AD8182ED9DB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深圳宝安福永菁英领寓2栋2411，贷款约</t>
        </r>
        <r>
          <rPr>
            <sz val="9"/>
            <color indexed="81"/>
            <rFont val="宋体"/>
            <family val="3"/>
            <charset val="134"/>
          </rPr>
          <t>75W。</t>
        </r>
      </text>
    </comment>
    <comment ref="B4" authorId="0" shapeId="0" xr:uid="{56A02939-909B-435C-9E38-15DA094DFBC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成都金牛区华侨城纯水岸68栋1单元1204，成本</t>
        </r>
        <r>
          <rPr>
            <sz val="9"/>
            <color indexed="81"/>
            <rFont val="宋体"/>
            <family val="3"/>
            <charset val="134"/>
          </rPr>
          <t>106W，</t>
        </r>
        <r>
          <rPr>
            <sz val="9"/>
            <color indexed="81"/>
            <rFont val="宋体"/>
            <family val="3"/>
            <charset val="134"/>
          </rPr>
          <t>首付</t>
        </r>
        <r>
          <rPr>
            <sz val="9"/>
            <color indexed="81"/>
            <rFont val="宋体"/>
            <family val="3"/>
            <charset val="134"/>
          </rPr>
          <t>56W</t>
        </r>
      </text>
    </comment>
    <comment ref="B5" authorId="0" shapeId="0" xr:uid="{DF5F6C57-DFBA-4413-BE5D-B32CD68062F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=德盛阁租房押金</t>
        </r>
        <r>
          <rPr>
            <sz val="9"/>
            <color indexed="81"/>
            <rFont val="宋体"/>
            <family val="3"/>
            <charset val="134"/>
          </rPr>
          <t>+图书馆读者证押金</t>
        </r>
      </text>
    </comment>
    <comment ref="B8" authorId="0" shapeId="0" xr:uid="{BC084215-E030-4F43-8ABB-B94C4402999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=中行3990</t>
        </r>
        <r>
          <rPr>
            <sz val="9"/>
            <color indexed="81"/>
            <rFont val="宋体"/>
            <family val="3"/>
            <charset val="134"/>
          </rPr>
          <t>+证券资金</t>
        </r>
      </text>
    </comment>
    <comment ref="B9" authorId="0" shapeId="0" xr:uid="{5EA8724E-468B-4F78-AA8D-B9221A4440B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=买入成本*当前数量。</t>
        </r>
      </text>
    </comment>
    <comment ref="E9" authorId="0" shapeId="0" xr:uid="{4FBACDCE-33DC-48A2-8322-47E10CA3339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证券资产占流动资产的比例</t>
        </r>
      </text>
    </comment>
    <comment ref="E10" authorId="0" shapeId="0" xr:uid="{704E1100-BCE2-40D8-A7E3-0C37147E89F2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理财资产占流动资产的比例</t>
        </r>
      </text>
    </comment>
    <comment ref="C13" authorId="0" shapeId="0" xr:uid="{AD2FAE88-C490-4756-950D-B53E79875C9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装修未付款。</t>
        </r>
      </text>
    </comment>
    <comment ref="B15" authorId="0" shapeId="0" xr:uid="{F7BB518E-2173-417E-ABAB-A0E41D8CE0C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=深圳领寓贷款（中行）+深圳领寓贷款（公积金）+成都华侨城贷款（建行）</t>
        </r>
      </text>
    </comment>
    <comment ref="C15" authorId="0" shapeId="0" xr:uid="{06C4A740-D780-4964-B76C-F91985706E2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=深圳领寓贷款（中行）+深圳领寓贷款（公积金）+成都华侨城贷款（建行）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" authorId="0" shapeId="0" xr:uid="{99570427-EB92-4342-A979-772C7844BC6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深圳宝安福永菁英领寓2栋2411，贷款约</t>
        </r>
        <r>
          <rPr>
            <sz val="9"/>
            <color indexed="81"/>
            <rFont val="宋体"/>
            <family val="3"/>
            <charset val="134"/>
          </rPr>
          <t>75W。</t>
        </r>
      </text>
    </comment>
    <comment ref="B4" authorId="0" shapeId="0" xr:uid="{AB72494C-B39D-4E98-9512-368AC28714A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成都金牛区华侨城纯水岸68栋1单元1204，成本</t>
        </r>
        <r>
          <rPr>
            <sz val="9"/>
            <color indexed="81"/>
            <rFont val="宋体"/>
            <family val="3"/>
            <charset val="134"/>
          </rPr>
          <t>106W，</t>
        </r>
        <r>
          <rPr>
            <sz val="9"/>
            <color indexed="81"/>
            <rFont val="宋体"/>
            <family val="3"/>
            <charset val="134"/>
          </rPr>
          <t>首付</t>
        </r>
        <r>
          <rPr>
            <sz val="9"/>
            <color indexed="81"/>
            <rFont val="宋体"/>
            <family val="3"/>
            <charset val="134"/>
          </rPr>
          <t>56W</t>
        </r>
      </text>
    </comment>
    <comment ref="B5" authorId="0" shapeId="0" xr:uid="{AA3E92DF-1210-46D2-BCF1-727C27AFD3A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=德盛阁租房押金</t>
        </r>
        <r>
          <rPr>
            <sz val="9"/>
            <color indexed="81"/>
            <rFont val="宋体"/>
            <family val="3"/>
            <charset val="134"/>
          </rPr>
          <t>+图书馆读者证押金+领寓报建押金</t>
        </r>
      </text>
    </comment>
    <comment ref="B8" authorId="0" shapeId="0" xr:uid="{678D2887-5C59-4547-B7A9-7709D6DAD0B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=中行3990</t>
        </r>
        <r>
          <rPr>
            <sz val="9"/>
            <color indexed="81"/>
            <rFont val="宋体"/>
            <family val="3"/>
            <charset val="134"/>
          </rPr>
          <t>+证券资金</t>
        </r>
      </text>
    </comment>
    <comment ref="B9" authorId="0" shapeId="0" xr:uid="{D8AE88C3-A93A-4C54-8E86-CB11E4670E0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以买入成本计算。</t>
        </r>
      </text>
    </comment>
    <comment ref="B13" authorId="0" shapeId="0" xr:uid="{D601FEF2-BA23-4235-9FF3-0842A102590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装修未付款。</t>
        </r>
      </text>
    </comment>
    <comment ref="B15" authorId="0" shapeId="0" xr:uid="{89EF616C-F846-4F40-B4B1-18A951ADECB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=深圳领寓贷款（中行）+深圳领寓贷款（公积金）+成都华侨城贷款（建行）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4" authorId="0" shapeId="0" xr:uid="{8CF1008D-5105-47AA-928F-46ABD00360A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成本106W，首付56W。</t>
        </r>
      </text>
    </comment>
    <comment ref="B6" authorId="0" shapeId="0" xr:uid="{BE04D9DC-063D-4467-9928-257285F4F48D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8" authorId="0" shapeId="0" xr:uid="{C876746E-B2CA-4DD3-B7F0-1E17C673024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中行新3990+中行6381+手头</t>
        </r>
      </text>
    </comment>
    <comment ref="A9" authorId="0" shapeId="0" xr:uid="{B3689F67-0B5B-4D02-A4F0-94ACD502AEE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以成本计算。</t>
        </r>
      </text>
    </comment>
    <comment ref="B10" authorId="0" shapeId="0" xr:uid="{7ACA39E6-24DA-4B3E-B2CB-129D5122D74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=微众银行+微信理财通+微信零钱。</t>
        </r>
      </text>
    </comment>
    <comment ref="A16" authorId="0" shapeId="0" xr:uid="{CEB00B09-2C77-48BA-8CC2-FB913D82EE2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用年度净资产变化计算。</t>
        </r>
      </text>
    </comment>
    <comment ref="B23" authorId="0" shapeId="0" xr:uid="{866B6665-0EBC-4244-9818-5A06F29A42F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成本106W，首付56W。</t>
        </r>
      </text>
    </comment>
    <comment ref="B25" authorId="0" shapeId="0" xr:uid="{F01B93B7-3237-44B1-A201-CB9761CEDE0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27" authorId="0" shapeId="0" xr:uid="{ABE98AB4-ADF8-473C-AD4F-56A1FBDA360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中行新3990+中行6381+手头</t>
        </r>
      </text>
    </comment>
    <comment ref="B29" authorId="0" shapeId="0" xr:uid="{0B7B371E-7059-44A8-92BF-AC9E35F8458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=微众银行+微信理财通+微信零钱。</t>
        </r>
      </text>
    </comment>
    <comment ref="B42" authorId="0" shapeId="0" xr:uid="{610A86C1-F5D6-4451-BCF8-4E6397C9F03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成本106W，首付56W。</t>
        </r>
      </text>
    </comment>
    <comment ref="B44" authorId="0" shapeId="0" xr:uid="{0AE5DAE8-657A-41A9-8D1B-DD99CC5E785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46" authorId="0" shapeId="0" xr:uid="{6C0F5865-7AA4-4390-B5F2-30FAA6F96F0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外汇+中行新3990+中行6381+手头</t>
        </r>
      </text>
    </comment>
    <comment ref="B48" authorId="0" shapeId="0" xr:uid="{F071F51F-6602-4CD5-89C6-F73907792D2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=微众银行+微信理财通+微信零钱。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6" authorId="0" shapeId="0" xr:uid="{0A6463B8-383C-4DDD-B783-45A71DC74B7B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8" authorId="0" shapeId="0" xr:uid="{5EAC4B6A-6573-426B-B208-E192D643392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外汇+中行新3990+中行6381+手头</t>
        </r>
      </text>
    </comment>
    <comment ref="B10" authorId="0" shapeId="0" xr:uid="{DF61DD10-0A19-4C34-AF9D-C37A359EBFD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=微众银行+微信理财通+微信零钱。</t>
        </r>
      </text>
    </comment>
    <comment ref="B29" authorId="0" shapeId="0" xr:uid="{83DB0DAA-04FE-4A63-BFF1-C82BBE8223B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31" authorId="0" shapeId="0" xr:uid="{BCE4CAFD-96F3-45E7-BE99-6EA26B53ADD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建行+中行新3990+中行6381+手头</t>
        </r>
      </text>
    </comment>
    <comment ref="B33" authorId="0" shapeId="0" xr:uid="{3E794FD1-E954-44F6-AC3D-E0DD032EF2F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=微众银行+微信理财通+微信零钱。</t>
        </r>
      </text>
    </comment>
    <comment ref="B48" authorId="0" shapeId="0" xr:uid="{9FFEF87C-00AA-410E-B2EF-E5FA7EC7980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50" authorId="0" shapeId="0" xr:uid="{294B28E8-83EA-4293-8E73-E49F23D291F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建行+中行新3990+中行6381+手头</t>
        </r>
      </text>
    </comment>
    <comment ref="B52" authorId="0" shapeId="0" xr:uid="{4A0AFC5B-B6EB-4A35-B063-66A512C34A2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=微众银行+微信理财通+微信零钱。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6" authorId="0" shapeId="0" xr:uid="{D68EBA5F-E74A-4B5E-8CBE-64F38FF9BD6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8" authorId="0" shapeId="0" xr:uid="{AC6A5999-1500-41CE-9932-E63D23A8EBF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建行、招行、中行旧、中行新、手头现金（包括微信零钱）、微众理财余额、理财通。</t>
        </r>
      </text>
    </comment>
    <comment ref="B10" authorId="0" shapeId="0" xr:uid="{C286E09E-AA3C-4BF2-AC3C-D740007C2B1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百果园100+天虹250</t>
        </r>
      </text>
    </comment>
    <comment ref="B25" authorId="0" shapeId="0" xr:uid="{7E4F85EF-782B-40E1-8E99-7545D22305B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租房押金2500。
读者证押金100。</t>
        </r>
      </text>
    </comment>
    <comment ref="B27" authorId="0" shapeId="0" xr:uid="{67EF9D5B-87A4-4ADC-9D7D-D3A79547D10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建行+招行+中行旧+中行新+手头+微众银行+理财通+余额宝+微信零钱。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6" authorId="0" shapeId="0" xr:uid="{DDCE84AF-318E-4772-91B0-B0946DEE7A2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租B701房押金3360。
读者证押金100。</t>
        </r>
      </text>
    </comment>
    <comment ref="B8" authorId="0" shapeId="0" xr:uid="{A4BA138F-4B3D-4027-9E74-FBEAE0EF3F6F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建行、招行、中行旧、中行新、手头、证券余额。</t>
        </r>
      </text>
    </comment>
    <comment ref="B25" authorId="0" shapeId="0" xr:uid="{F3D159B5-75ED-4452-931D-BEE18ADDB1A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租B701房押金3360。
读者证押金100。</t>
        </r>
      </text>
    </comment>
    <comment ref="B27" authorId="0" shapeId="0" xr:uid="{8D735222-3561-4C8D-883A-D7D13B6623CD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工行、中行旧、中行新、手头、证券余额。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6" authorId="0" shapeId="0" xr:uid="{16082C72-1623-4B78-AB86-A08216872DD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租B701房押金3360。
读者证押金100。</t>
        </r>
      </text>
    </comment>
    <comment ref="B8" authorId="0" shapeId="0" xr:uid="{17CAC905-7133-4BE5-AF6D-1B122ECC65B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工行、中行旧、中行新、手头、证券余额。</t>
        </r>
      </text>
    </comment>
    <comment ref="B12" authorId="0" shapeId="0" xr:uid="{D03D4A82-6913-4649-A912-96D42AA547F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劳动仲裁，预计拿不到。</t>
        </r>
      </text>
    </comment>
    <comment ref="B31" authorId="0" shapeId="0" xr:uid="{D1961037-043B-47EE-8DA1-70247F3C66E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租B701房押金3360。
读者证押金100。
大院门禁卡押金20。</t>
        </r>
      </text>
    </comment>
    <comment ref="B33" authorId="0" shapeId="0" xr:uid="{FF4B15AE-4C0C-4B8D-9656-E7101AA9047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工行、中行、手头、证券余额。</t>
        </r>
      </text>
    </comment>
    <comment ref="B37" authorId="0" shapeId="0" xr:uid="{856A2EFC-3486-40FB-BDAF-8E4ABE9DA6E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劳动仲裁，预计拿不到。</t>
        </r>
      </text>
    </comment>
    <comment ref="B52" authorId="0" shapeId="0" xr:uid="{A1D125DB-64D9-46A6-B4AA-19A59474B69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租B701房押金3360。
读者证押金100。
大院门禁卡押金20。</t>
        </r>
      </text>
    </comment>
    <comment ref="B54" authorId="0" shapeId="0" xr:uid="{A594CD3A-648D-4AAE-B728-0FAC7484C92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工行、中行、手头现金、证券帐户。</t>
        </r>
      </text>
    </comment>
    <comment ref="B58" authorId="0" shapeId="0" xr:uid="{72459F79-A4DA-47AB-9395-0DE976E8E44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注：2012年部分收入。存在不确定性，详见收入表2012年度附注。</t>
        </r>
      </text>
    </comment>
    <comment ref="B76" authorId="0" shapeId="0" xr:uid="{DD68C849-D3C7-4A31-A8AE-CA0D6CD6B6A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租B701房押金2600。
读者证押金100。
大院门禁卡押金20。</t>
        </r>
      </text>
    </comment>
    <comment ref="B78" authorId="0" shapeId="0" xr:uid="{3B88010E-CBCA-41FF-B3BE-74AB4F72FA8F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银行存款+手头现金。</t>
        </r>
      </text>
    </comment>
    <comment ref="B82" authorId="0" shapeId="0" xr:uid="{7A44B7FE-D937-48EC-B8AB-5F170D0CC54F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注：2012年部分收入。存在不确定性，详见收入表2012年度附注。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5" authorId="0" shapeId="0" xr:uid="{7BC858B6-6EB4-41D5-8193-9FBEA8613E8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租B701房押金2600。
读者证押金100。
大院门禁卡押金20。</t>
        </r>
      </text>
    </comment>
    <comment ref="B7" authorId="0" shapeId="0" xr:uid="{4CED7C65-8DB7-40F6-9C4F-E93DE35DA1C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银行存款+手头现金。</t>
        </r>
      </text>
    </comment>
    <comment ref="B11" authorId="0" shapeId="0" xr:uid="{F461E673-5F06-4AE5-9588-4C7DBC8EB1E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注：2012年部分收入。存在不确定性，详见收入表2012年度附注。</t>
        </r>
      </text>
    </comment>
    <comment ref="B36" authorId="0" shapeId="0" xr:uid="{13A8CE57-FDA1-4E1A-BC5E-D3B222D7170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租B701房押金2600。
读者证押金100。
大院门禁卡押金20。</t>
        </r>
      </text>
    </comment>
    <comment ref="B42" authorId="0" shapeId="0" xr:uid="{EBD5B815-DB2F-4290-915C-E1756B88ECC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年初给母1200，服装购置费。</t>
        </r>
      </text>
    </comment>
    <comment ref="B62" authorId="0" shapeId="0" xr:uid="{95DC8818-CD11-479B-9EC6-2B7F65F0DD1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租B701房押金2600。
读者证押金100。
大院门禁卡押金20。</t>
        </r>
      </text>
    </comment>
    <comment ref="B68" authorId="0" shapeId="0" xr:uid="{92AB5491-76A2-4FA1-B417-83E1388D7AE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年初给母1200，服装购置费。</t>
        </r>
      </text>
    </comment>
    <comment ref="B86" authorId="0" shapeId="0" xr:uid="{5CAAD8D4-6AAE-4A26-A23F-C3B0BA681D6B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租B701房押金2600。
读者证押金100。
大院门禁卡押金20。</t>
        </r>
      </text>
    </comment>
    <comment ref="B92" authorId="0" shapeId="0" xr:uid="{D28853F0-9265-4390-B52C-AC88AA58CEF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年初给母1200，服装购置费。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5" authorId="0" shapeId="0" xr:uid="{9503AB90-DA7A-469E-AB3E-A72932E71AA2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租1009房押金3000。
读者证押金100。
2011-5-6，大院门禁卡押金20。</t>
        </r>
      </text>
    </comment>
    <comment ref="B11" authorId="0" shapeId="0" xr:uid="{C902BC6B-E75E-4FFD-9FD4-1A0FD32AC31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20110915，借给二舅5000。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5" authorId="0" shapeId="0" xr:uid="{C1696FBB-9E47-4046-B882-208F18256FA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租1009房押金。</t>
        </r>
      </text>
    </comment>
    <comment ref="B9" authorId="0" shapeId="0" xr:uid="{A27D1D8B-E3F0-4D01-A937-7651AC3BE08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借给黎鹏飞3W，年息15%。每年的3月1日结息。</t>
        </r>
      </text>
    </comment>
    <comment ref="B10" authorId="0" shapeId="0" xr:uid="{3563C01B-FA30-4000-A83C-4AB58894A02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招行股票，当年配股。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10" authorId="0" shapeId="0" xr:uid="{364219D4-F9F7-4C57-94D6-62BA6E61E62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招行。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8" authorId="0" shapeId="0" xr:uid="{15921748-5E70-4124-8F25-339A2F4F6AE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股票亏损，清仓。</t>
        </r>
      </text>
    </comment>
    <comment ref="B10" authorId="0" shapeId="0" xr:uid="{D248ACBC-63A2-4314-BDE2-69A9FBE3962B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招行。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5" authorId="0" shapeId="0" xr:uid="{C04EABC3-9309-49FC-BC52-B1C095C2104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羽毛球存货。</t>
        </r>
      </text>
    </comment>
    <comment ref="B10" authorId="0" shapeId="0" xr:uid="{EFC47369-100E-4C91-A61B-34032344D2ED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招行。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5" authorId="0" shapeId="0" xr:uid="{487CEF5C-426C-479E-B374-DBD1F2831E2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主要是羽毛球存货。</t>
        </r>
      </text>
    </comment>
  </commentList>
</comments>
</file>

<file path=xl/sharedStrings.xml><?xml version="1.0" encoding="utf-8"?>
<sst xmlns="http://schemas.openxmlformats.org/spreadsheetml/2006/main" count="1048" uniqueCount="155">
  <si>
    <t>证券</t>
    <phoneticPr fontId="1" type="noConversion"/>
  </si>
  <si>
    <t>理财</t>
    <phoneticPr fontId="1" type="noConversion"/>
  </si>
  <si>
    <t>投资性房产</t>
    <phoneticPr fontId="1" type="noConversion"/>
  </si>
  <si>
    <t>自住房产</t>
    <phoneticPr fontId="1" type="noConversion"/>
  </si>
  <si>
    <t>应收账款</t>
    <phoneticPr fontId="1" type="noConversion"/>
  </si>
  <si>
    <t>其他负债</t>
    <phoneticPr fontId="1" type="noConversion"/>
  </si>
  <si>
    <t>日期：2019-2-11</t>
    <phoneticPr fontId="1" type="noConversion"/>
  </si>
  <si>
    <t>现金及等价物</t>
    <phoneticPr fontId="1" type="noConversion"/>
  </si>
  <si>
    <t>项目</t>
    <phoneticPr fontId="1" type="noConversion"/>
  </si>
  <si>
    <t>期末余额</t>
    <phoneticPr fontId="1" type="noConversion"/>
  </si>
  <si>
    <t>一、非流动资产合计</t>
    <phoneticPr fontId="1" type="noConversion"/>
  </si>
  <si>
    <t>二、流动资产合计</t>
    <phoneticPr fontId="1" type="noConversion"/>
  </si>
  <si>
    <t>三、资产总计</t>
    <phoneticPr fontId="1" type="noConversion"/>
  </si>
  <si>
    <t>四、负债合计</t>
    <phoneticPr fontId="1" type="noConversion"/>
  </si>
  <si>
    <t>五、净资产合计</t>
    <phoneticPr fontId="1" type="noConversion"/>
  </si>
  <si>
    <t>六、ROE</t>
    <phoneticPr fontId="1" type="noConversion"/>
  </si>
  <si>
    <t>期初余额</t>
    <phoneticPr fontId="1" type="noConversion"/>
  </si>
  <si>
    <r>
      <t>2017</t>
    </r>
    <r>
      <rPr>
        <sz val="11"/>
        <color theme="1"/>
        <rFont val="等线"/>
        <family val="2"/>
        <scheme val="minor"/>
      </rPr>
      <t>年度</t>
    </r>
    <r>
      <rPr>
        <sz val="12"/>
        <rFont val="宋体"/>
        <family val="3"/>
        <charset val="134"/>
      </rPr>
      <t xml:space="preserve"> 201</t>
    </r>
    <r>
      <rPr>
        <sz val="12"/>
        <rFont val="宋体"/>
        <family val="3"/>
        <charset val="134"/>
      </rPr>
      <t>80218</t>
    </r>
    <phoneticPr fontId="7" type="noConversion"/>
  </si>
  <si>
    <t>资产</t>
    <phoneticPr fontId="7" type="noConversion"/>
  </si>
  <si>
    <t>金额</t>
    <phoneticPr fontId="7" type="noConversion"/>
  </si>
  <si>
    <t>负债</t>
    <phoneticPr fontId="7" type="noConversion"/>
  </si>
  <si>
    <t>自住住宅</t>
    <phoneticPr fontId="7" type="noConversion"/>
  </si>
  <si>
    <t>信用卡</t>
    <phoneticPr fontId="7" type="noConversion"/>
  </si>
  <si>
    <t>出租住宅</t>
    <phoneticPr fontId="7" type="noConversion"/>
  </si>
  <si>
    <t>教育贷款</t>
    <phoneticPr fontId="7" type="noConversion"/>
  </si>
  <si>
    <t>其他不动产</t>
    <phoneticPr fontId="7" type="noConversion"/>
  </si>
  <si>
    <t>消费贷款</t>
    <phoneticPr fontId="7" type="noConversion"/>
  </si>
  <si>
    <t>其他固定资产</t>
    <phoneticPr fontId="7" type="noConversion"/>
  </si>
  <si>
    <t>其他短期债务</t>
    <phoneticPr fontId="7" type="noConversion"/>
  </si>
  <si>
    <t>固定资产合计</t>
    <phoneticPr fontId="7" type="noConversion"/>
  </si>
  <si>
    <t>流动债务合计</t>
    <phoneticPr fontId="7" type="noConversion"/>
  </si>
  <si>
    <t>现金</t>
    <phoneticPr fontId="7" type="noConversion"/>
  </si>
  <si>
    <t>住房贷款</t>
    <phoneticPr fontId="7" type="noConversion"/>
  </si>
  <si>
    <t>股权资产</t>
    <phoneticPr fontId="7" type="noConversion"/>
  </si>
  <si>
    <t>汽车贷款</t>
    <phoneticPr fontId="7" type="noConversion"/>
  </si>
  <si>
    <t>其他金融资产</t>
    <phoneticPr fontId="7" type="noConversion"/>
  </si>
  <si>
    <t>其他长期贷款</t>
    <phoneticPr fontId="7" type="noConversion"/>
  </si>
  <si>
    <t>住房公积金</t>
    <phoneticPr fontId="7" type="noConversion"/>
  </si>
  <si>
    <t>长期负债合计</t>
    <phoneticPr fontId="7" type="noConversion"/>
  </si>
  <si>
    <t>应收账款</t>
    <phoneticPr fontId="7" type="noConversion"/>
  </si>
  <si>
    <t>总负债</t>
    <phoneticPr fontId="7" type="noConversion"/>
  </si>
  <si>
    <t>流动资产合计</t>
    <phoneticPr fontId="7" type="noConversion"/>
  </si>
  <si>
    <t>总资产</t>
    <phoneticPr fontId="7" type="noConversion"/>
  </si>
  <si>
    <t>净资产</t>
    <phoneticPr fontId="7" type="noConversion"/>
  </si>
  <si>
    <t>净收入</t>
    <phoneticPr fontId="7" type="noConversion"/>
  </si>
  <si>
    <t>负债率</t>
    <phoneticPr fontId="7" type="noConversion"/>
  </si>
  <si>
    <t>ROE</t>
    <phoneticPr fontId="7" type="noConversion"/>
  </si>
  <si>
    <r>
      <t>2017</t>
    </r>
    <r>
      <rPr>
        <sz val="11"/>
        <color theme="1"/>
        <rFont val="等线"/>
        <family val="2"/>
        <scheme val="minor"/>
      </rPr>
      <t>年度</t>
    </r>
    <r>
      <rPr>
        <sz val="11"/>
        <color theme="1"/>
        <rFont val="等线"/>
        <family val="2"/>
        <scheme val="minor"/>
      </rPr>
      <t>半年报</t>
    </r>
    <r>
      <rPr>
        <sz val="12"/>
        <rFont val="宋体"/>
        <family val="3"/>
        <charset val="134"/>
      </rPr>
      <t xml:space="preserve"> 20170530</t>
    </r>
    <phoneticPr fontId="7" type="noConversion"/>
  </si>
  <si>
    <t>净资产（市值）</t>
    <phoneticPr fontId="7" type="noConversion"/>
  </si>
  <si>
    <r>
      <t>2017</t>
    </r>
    <r>
      <rPr>
        <sz val="10"/>
        <rFont val="宋体"/>
        <family val="3"/>
        <charset val="134"/>
      </rPr>
      <t>年度</t>
    </r>
    <r>
      <rPr>
        <sz val="10"/>
        <rFont val="arial"/>
        <family val="2"/>
      </rPr>
      <t>1Q</t>
    </r>
    <r>
      <rPr>
        <sz val="10"/>
        <rFont val="宋体"/>
        <family val="3"/>
        <charset val="134"/>
      </rPr>
      <t xml:space="preserve"> 20170305</t>
    </r>
    <phoneticPr fontId="7" type="noConversion"/>
  </si>
  <si>
    <r>
      <t>2016</t>
    </r>
    <r>
      <rPr>
        <b/>
        <sz val="10"/>
        <rFont val="宋体"/>
        <family val="3"/>
        <charset val="134"/>
      </rPr>
      <t>年度</t>
    </r>
    <r>
      <rPr>
        <b/>
        <sz val="10"/>
        <rFont val="arial"/>
        <family val="2"/>
      </rPr>
      <t xml:space="preserve"> 20170202</t>
    </r>
    <phoneticPr fontId="7" type="noConversion"/>
  </si>
  <si>
    <t>2016-9-3，父亲给139,700.</t>
    <phoneticPr fontId="7" type="noConversion"/>
  </si>
  <si>
    <r>
      <t>2016</t>
    </r>
    <r>
      <rPr>
        <b/>
        <sz val="10"/>
        <rFont val="宋体"/>
        <family val="3"/>
        <charset val="134"/>
      </rPr>
      <t>年</t>
    </r>
    <r>
      <rPr>
        <b/>
        <sz val="10"/>
        <rFont val="arial"/>
        <family val="2"/>
      </rPr>
      <t>3Q 20160917</t>
    </r>
    <phoneticPr fontId="7" type="noConversion"/>
  </si>
  <si>
    <r>
      <t>2016</t>
    </r>
    <r>
      <rPr>
        <b/>
        <sz val="10"/>
        <rFont val="宋体"/>
        <family val="3"/>
        <charset val="134"/>
      </rPr>
      <t>年半年报</t>
    </r>
    <r>
      <rPr>
        <b/>
        <sz val="10"/>
        <rFont val="arial"/>
        <family val="2"/>
      </rPr>
      <t xml:space="preserve"> 20160612</t>
    </r>
    <phoneticPr fontId="7" type="noConversion"/>
  </si>
  <si>
    <r>
      <t>2015</t>
    </r>
    <r>
      <rPr>
        <b/>
        <sz val="10"/>
        <rFont val="宋体"/>
        <family val="3"/>
        <charset val="134"/>
      </rPr>
      <t>年度</t>
    </r>
    <r>
      <rPr>
        <b/>
        <sz val="10"/>
        <rFont val="arial"/>
        <family val="2"/>
      </rPr>
      <t>20160212</t>
    </r>
    <phoneticPr fontId="7" type="noConversion"/>
  </si>
  <si>
    <t>2015年3Q 20151001</t>
    <phoneticPr fontId="7" type="noConversion"/>
  </si>
  <si>
    <r>
      <t>2014</t>
    </r>
    <r>
      <rPr>
        <b/>
        <sz val="10"/>
        <rFont val="宋体"/>
        <family val="3"/>
        <charset val="134"/>
      </rPr>
      <t>年度</t>
    </r>
    <r>
      <rPr>
        <b/>
        <sz val="10"/>
        <rFont val="arial"/>
        <family val="2"/>
      </rPr>
      <t>20150221</t>
    </r>
    <phoneticPr fontId="7" type="noConversion"/>
  </si>
  <si>
    <t>2014年一季度20140331</t>
    <phoneticPr fontId="7" type="noConversion"/>
  </si>
  <si>
    <t>注1</t>
    <phoneticPr fontId="7" type="noConversion"/>
  </si>
  <si>
    <t>注2</t>
    <phoneticPr fontId="7" type="noConversion"/>
  </si>
  <si>
    <t>附注</t>
    <phoneticPr fontId="7" type="noConversion"/>
  </si>
  <si>
    <t>1.大院门禁卡押金20计提坏账。</t>
    <phoneticPr fontId="7" type="noConversion"/>
  </si>
  <si>
    <t>2.净资产超过20W。</t>
    <phoneticPr fontId="7" type="noConversion"/>
  </si>
  <si>
    <t>2013年度</t>
    <phoneticPr fontId="7" type="noConversion"/>
  </si>
  <si>
    <r>
      <t>注</t>
    </r>
    <r>
      <rPr>
        <b/>
        <sz val="10"/>
        <rFont val="arial"/>
        <family val="2"/>
      </rPr>
      <t>1</t>
    </r>
    <r>
      <rPr>
        <b/>
        <sz val="10"/>
        <rFont val="宋体"/>
        <family val="3"/>
        <charset val="134"/>
      </rPr>
      <t>：大院门禁卡</t>
    </r>
    <r>
      <rPr>
        <b/>
        <sz val="10"/>
        <rFont val="arial"/>
        <family val="2"/>
      </rPr>
      <t>20</t>
    </r>
    <r>
      <rPr>
        <b/>
        <sz val="10"/>
        <rFont val="宋体"/>
        <family val="3"/>
        <charset val="134"/>
      </rPr>
      <t>元记为坏账。</t>
    </r>
    <phoneticPr fontId="7" type="noConversion"/>
  </si>
  <si>
    <t>注2：2013-11-28，取10000给父做白内障手术。</t>
    <phoneticPr fontId="7" type="noConversion"/>
  </si>
  <si>
    <r>
      <t>2013</t>
    </r>
    <r>
      <rPr>
        <b/>
        <sz val="10"/>
        <rFont val="宋体"/>
        <family val="3"/>
        <charset val="134"/>
      </rPr>
      <t>年度</t>
    </r>
    <phoneticPr fontId="7" type="noConversion"/>
  </si>
  <si>
    <r>
      <t>2012</t>
    </r>
    <r>
      <rPr>
        <b/>
        <sz val="10"/>
        <rFont val="宋体"/>
        <family val="3"/>
        <charset val="134"/>
      </rPr>
      <t>年度</t>
    </r>
    <phoneticPr fontId="7" type="noConversion"/>
  </si>
  <si>
    <t>增长值</t>
    <phoneticPr fontId="7" type="noConversion"/>
  </si>
  <si>
    <t>增长率</t>
    <phoneticPr fontId="7" type="noConversion"/>
  </si>
  <si>
    <t>3季度</t>
    <phoneticPr fontId="7" type="noConversion"/>
  </si>
  <si>
    <t>注1：</t>
    <phoneticPr fontId="7" type="noConversion"/>
  </si>
  <si>
    <t>20130809，拿了两次房租共4000元；20130830，父母拿40000放我这里。</t>
    <phoneticPr fontId="7" type="noConversion"/>
  </si>
  <si>
    <t>因为没有工作收入，导致净资产下降15369，负债率上升。</t>
    <phoneticPr fontId="7" type="noConversion"/>
  </si>
  <si>
    <t>半年度</t>
    <phoneticPr fontId="7" type="noConversion"/>
  </si>
  <si>
    <t>附注：</t>
    <phoneticPr fontId="7" type="noConversion"/>
  </si>
  <si>
    <r>
      <t>2013-4-1</t>
    </r>
    <r>
      <rPr>
        <b/>
        <sz val="10"/>
        <rFont val="宋体"/>
        <family val="3"/>
        <charset val="134"/>
      </rPr>
      <t>，公司转账</t>
    </r>
    <r>
      <rPr>
        <b/>
        <sz val="10"/>
        <rFont val="arial"/>
        <family val="2"/>
      </rPr>
      <t>12,788</t>
    </r>
    <r>
      <rPr>
        <b/>
        <sz val="10"/>
        <rFont val="宋体"/>
        <family val="3"/>
        <charset val="134"/>
      </rPr>
      <t>元。</t>
    </r>
    <phoneticPr fontId="7" type="noConversion"/>
  </si>
  <si>
    <r>
      <t>2013-4</t>
    </r>
    <r>
      <rPr>
        <b/>
        <sz val="10"/>
        <rFont val="宋体"/>
        <family val="3"/>
        <charset val="134"/>
      </rPr>
      <t>，房租增至</t>
    </r>
    <r>
      <rPr>
        <b/>
        <sz val="10"/>
        <rFont val="arial"/>
        <family val="2"/>
      </rPr>
      <t>1680</t>
    </r>
    <r>
      <rPr>
        <b/>
        <sz val="10"/>
        <rFont val="宋体"/>
        <family val="3"/>
        <charset val="134"/>
      </rPr>
      <t>，押金增长</t>
    </r>
    <r>
      <rPr>
        <b/>
        <sz val="10"/>
        <rFont val="arial"/>
        <family val="2"/>
      </rPr>
      <t>760</t>
    </r>
    <r>
      <rPr>
        <b/>
        <sz val="10"/>
        <rFont val="宋体"/>
        <family val="3"/>
        <charset val="134"/>
      </rPr>
      <t>。</t>
    </r>
    <phoneticPr fontId="7" type="noConversion"/>
  </si>
  <si>
    <r>
      <t>2013-4</t>
    </r>
    <r>
      <rPr>
        <b/>
        <sz val="10"/>
        <rFont val="宋体"/>
        <family val="3"/>
        <charset val="134"/>
      </rPr>
      <t>，申请强制执行</t>
    </r>
    <r>
      <rPr>
        <b/>
        <sz val="10"/>
        <rFont val="arial"/>
        <family val="2"/>
      </rPr>
      <t>22,922</t>
    </r>
    <r>
      <rPr>
        <b/>
        <sz val="10"/>
        <rFont val="宋体"/>
        <family val="3"/>
        <charset val="134"/>
      </rPr>
      <t>元。</t>
    </r>
    <phoneticPr fontId="7" type="noConversion"/>
  </si>
  <si>
    <r>
      <t>2013-5</t>
    </r>
    <r>
      <rPr>
        <b/>
        <sz val="10"/>
        <rFont val="宋体"/>
        <family val="3"/>
        <charset val="134"/>
      </rPr>
      <t>，强制执行</t>
    </r>
    <r>
      <rPr>
        <b/>
        <sz val="10"/>
        <rFont val="arial"/>
        <family val="2"/>
      </rPr>
      <t>23054.36</t>
    </r>
    <r>
      <rPr>
        <b/>
        <sz val="10"/>
        <rFont val="宋体"/>
        <family val="3"/>
        <charset val="134"/>
      </rPr>
      <t>元。</t>
    </r>
    <phoneticPr fontId="7" type="noConversion"/>
  </si>
  <si>
    <t>一季度</t>
    <phoneticPr fontId="7" type="noConversion"/>
  </si>
  <si>
    <r>
      <t>2013-3-3</t>
    </r>
    <r>
      <rPr>
        <b/>
        <sz val="10"/>
        <rFont val="宋体"/>
        <family val="3"/>
        <charset val="134"/>
      </rPr>
      <t>，还父母</t>
    </r>
    <r>
      <rPr>
        <b/>
        <sz val="10"/>
        <rFont val="arial"/>
        <family val="2"/>
      </rPr>
      <t>45,626</t>
    </r>
    <r>
      <rPr>
        <b/>
        <sz val="10"/>
        <rFont val="宋体"/>
        <family val="3"/>
        <charset val="134"/>
      </rPr>
      <t>元。</t>
    </r>
    <phoneticPr fontId="7" type="noConversion"/>
  </si>
  <si>
    <r>
      <t>2013-3-5</t>
    </r>
    <r>
      <rPr>
        <b/>
        <sz val="10"/>
        <rFont val="宋体"/>
        <family val="3"/>
        <charset val="134"/>
      </rPr>
      <t>，借父母</t>
    </r>
    <r>
      <rPr>
        <b/>
        <sz val="10"/>
        <rFont val="arial"/>
        <family val="2"/>
      </rPr>
      <t>5,000</t>
    </r>
    <r>
      <rPr>
        <b/>
        <sz val="10"/>
        <rFont val="宋体"/>
        <family val="3"/>
        <charset val="134"/>
      </rPr>
      <t>元。</t>
    </r>
    <phoneticPr fontId="7" type="noConversion"/>
  </si>
  <si>
    <t>如果没有收入，净资产就会越来越少。</t>
    <phoneticPr fontId="7" type="noConversion"/>
  </si>
  <si>
    <r>
      <t>2012-2-3</t>
    </r>
    <r>
      <rPr>
        <b/>
        <sz val="10"/>
        <rFont val="宋体"/>
        <family val="3"/>
        <charset val="134"/>
      </rPr>
      <t>，公司转账</t>
    </r>
    <r>
      <rPr>
        <b/>
        <sz val="10"/>
        <rFont val="arial"/>
        <family val="2"/>
      </rPr>
      <t>6,348</t>
    </r>
    <r>
      <rPr>
        <b/>
        <sz val="10"/>
        <rFont val="宋体"/>
        <family val="3"/>
        <charset val="134"/>
      </rPr>
      <t>元。</t>
    </r>
    <phoneticPr fontId="7" type="noConversion"/>
  </si>
  <si>
    <r>
      <t>2011</t>
    </r>
    <r>
      <rPr>
        <b/>
        <sz val="10"/>
        <rFont val="宋体"/>
        <family val="3"/>
        <charset val="134"/>
      </rPr>
      <t>年度</t>
    </r>
    <phoneticPr fontId="7" type="noConversion"/>
  </si>
  <si>
    <t>年初：</t>
    <phoneticPr fontId="7" type="noConversion"/>
  </si>
  <si>
    <r>
      <t>1.ROE</t>
    </r>
    <r>
      <rPr>
        <b/>
        <sz val="10"/>
        <rFont val="宋体"/>
        <family val="3"/>
        <charset val="134"/>
      </rPr>
      <t>下降，太少；务必想出办法。</t>
    </r>
    <phoneticPr fontId="7" type="noConversion"/>
  </si>
  <si>
    <r>
      <t>2.</t>
    </r>
    <r>
      <rPr>
        <b/>
        <sz val="10"/>
        <rFont val="宋体"/>
        <family val="3"/>
        <charset val="134"/>
      </rPr>
      <t>原因在于净收入预计下降。</t>
    </r>
    <phoneticPr fontId="7" type="noConversion"/>
  </si>
  <si>
    <r>
      <t>3.</t>
    </r>
    <r>
      <rPr>
        <b/>
        <sz val="10"/>
        <rFont val="宋体"/>
        <family val="3"/>
        <charset val="134"/>
      </rPr>
      <t>不可让这个年度预计成为现实，务必要在这个基础上提高。</t>
    </r>
    <phoneticPr fontId="7" type="noConversion"/>
  </si>
  <si>
    <r>
      <t>1.3</t>
    </r>
    <r>
      <rPr>
        <b/>
        <sz val="10"/>
        <rFont val="宋体"/>
        <family val="3"/>
        <charset val="134"/>
      </rPr>
      <t>月份换了租房，降低了租房支出，相对提高了净收入。</t>
    </r>
    <phoneticPr fontId="7" type="noConversion"/>
  </si>
  <si>
    <t>三季度</t>
    <phoneticPr fontId="7" type="noConversion"/>
  </si>
  <si>
    <t>预付账款</t>
    <phoneticPr fontId="7" type="noConversion"/>
  </si>
  <si>
    <t>2012Q3</t>
    <phoneticPr fontId="7" type="noConversion"/>
  </si>
  <si>
    <t>附注：工作的新兴公司发生困难，资金链可能断裂，我的收入受到影响，9月份收入未发。</t>
    <phoneticPr fontId="7" type="noConversion"/>
  </si>
  <si>
    <t>2012Q2</t>
    <phoneticPr fontId="7" type="noConversion"/>
  </si>
  <si>
    <t>2012Q1</t>
    <phoneticPr fontId="7" type="noConversion"/>
  </si>
  <si>
    <t>流动负债合计</t>
    <phoneticPr fontId="7" type="noConversion"/>
  </si>
  <si>
    <r>
      <t>2010</t>
    </r>
    <r>
      <rPr>
        <b/>
        <sz val="10"/>
        <rFont val="宋体"/>
        <family val="3"/>
        <charset val="134"/>
      </rPr>
      <t>年度</t>
    </r>
    <phoneticPr fontId="7" type="noConversion"/>
  </si>
  <si>
    <t>1.负债率下降；</t>
    <phoneticPr fontId="7" type="noConversion"/>
  </si>
  <si>
    <t>2.ROE下降，创业阶段，ROE起码要在50%以上；</t>
    <phoneticPr fontId="7" type="noConversion"/>
  </si>
  <si>
    <t>3.资产中股权资产占比很大，71%；</t>
    <phoneticPr fontId="7" type="noConversion"/>
  </si>
  <si>
    <t>日期</t>
    <phoneticPr fontId="7" type="noConversion"/>
  </si>
  <si>
    <t>收益</t>
    <phoneticPr fontId="7" type="noConversion"/>
  </si>
  <si>
    <t>估值</t>
    <phoneticPr fontId="7" type="noConversion"/>
  </si>
  <si>
    <r>
      <t>2013预计</t>
    </r>
    <r>
      <rPr>
        <sz val="10"/>
        <rFont val="宋体"/>
        <family val="3"/>
        <charset val="134"/>
      </rPr>
      <t/>
    </r>
  </si>
  <si>
    <r>
      <t>2014预计</t>
    </r>
    <r>
      <rPr>
        <sz val="10"/>
        <rFont val="宋体"/>
        <family val="3"/>
        <charset val="134"/>
      </rPr>
      <t/>
    </r>
  </si>
  <si>
    <r>
      <t>2015预计</t>
    </r>
    <r>
      <rPr>
        <sz val="10"/>
        <rFont val="宋体"/>
        <family val="3"/>
        <charset val="134"/>
      </rPr>
      <t/>
    </r>
  </si>
  <si>
    <t>长期股权投资</t>
    <phoneticPr fontId="7" type="noConversion"/>
  </si>
  <si>
    <t>黄金投资</t>
    <phoneticPr fontId="7" type="noConversion"/>
  </si>
  <si>
    <t>注：在2010年3月，母亲过年从老家回来后给我3.68万。在2010年10月，父亲再给我4万。说好是无息借款。</t>
    <phoneticPr fontId="7" type="noConversion"/>
  </si>
  <si>
    <t>2008年度，财务状况最糟糕，接近破产。</t>
    <phoneticPr fontId="7" type="noConversion"/>
  </si>
  <si>
    <t>手头现金日渐缩水，从2007年8月到2008年10月，15个月的时间，50000左右的存款到只剩12437.</t>
    <phoneticPr fontId="7" type="noConversion"/>
  </si>
  <si>
    <t>按照当时的年亏损-8436计算，手头现金只能支撑18个月。</t>
    <phoneticPr fontId="7" type="noConversion"/>
  </si>
  <si>
    <t>住房公积金</t>
    <phoneticPr fontId="1" type="noConversion"/>
  </si>
  <si>
    <t>其他短期债务</t>
    <phoneticPr fontId="1" type="noConversion"/>
  </si>
  <si>
    <t>住房贷款</t>
    <phoneticPr fontId="1" type="noConversion"/>
  </si>
  <si>
    <t>四、流动负债合计</t>
    <phoneticPr fontId="1" type="noConversion"/>
  </si>
  <si>
    <t>五、非流动负债合计</t>
    <phoneticPr fontId="1" type="noConversion"/>
  </si>
  <si>
    <t>六、负债合计</t>
    <phoneticPr fontId="1" type="noConversion"/>
  </si>
  <si>
    <t>七、净资产合计</t>
    <phoneticPr fontId="1" type="noConversion"/>
  </si>
  <si>
    <t>十、ROE</t>
    <phoneticPr fontId="1" type="noConversion"/>
  </si>
  <si>
    <t>八、负债率</t>
    <phoneticPr fontId="1" type="noConversion"/>
  </si>
  <si>
    <t>九、净收入</t>
    <phoneticPr fontId="1" type="noConversion"/>
  </si>
  <si>
    <t>年份</t>
    <phoneticPr fontId="7" type="noConversion"/>
  </si>
  <si>
    <t>收入</t>
    <phoneticPr fontId="7" type="noConversion"/>
  </si>
  <si>
    <t>收入增长率</t>
    <phoneticPr fontId="7" type="noConversion"/>
  </si>
  <si>
    <t>净收入增长率</t>
    <phoneticPr fontId="7" type="noConversion"/>
  </si>
  <si>
    <t>总资产增长率</t>
    <phoneticPr fontId="7" type="noConversion"/>
  </si>
  <si>
    <t>净资产增长率</t>
    <phoneticPr fontId="7" type="noConversion"/>
  </si>
  <si>
    <t>-</t>
    <phoneticPr fontId="7" type="noConversion"/>
  </si>
  <si>
    <t>2019年度 2020-2-8</t>
    <phoneticPr fontId="1" type="noConversion"/>
  </si>
  <si>
    <t>注：20190103，公积金提取54425</t>
    <phoneticPr fontId="1" type="noConversion"/>
  </si>
  <si>
    <t>2020年度 2021-2-18</t>
    <phoneticPr fontId="1" type="noConversion"/>
  </si>
  <si>
    <t>住房贷款（深圳领寓-中行）</t>
    <phoneticPr fontId="1" type="noConversion"/>
  </si>
  <si>
    <t>住房贷款（深圳领寓-公积金）</t>
    <phoneticPr fontId="1" type="noConversion"/>
  </si>
  <si>
    <t>住房贷款（成都华侨城-建行）</t>
    <phoneticPr fontId="1" type="noConversion"/>
  </si>
  <si>
    <t>同比增减%</t>
    <phoneticPr fontId="1" type="noConversion"/>
  </si>
  <si>
    <t>净收入2</t>
    <phoneticPr fontId="7" type="noConversion"/>
  </si>
  <si>
    <t>2021年度 20220129</t>
    <phoneticPr fontId="1" type="noConversion"/>
  </si>
  <si>
    <t>2022年度 20230321</t>
    <phoneticPr fontId="1" type="noConversion"/>
  </si>
  <si>
    <t>备注</t>
    <phoneticPr fontId="1" type="noConversion"/>
  </si>
  <si>
    <t>均价2.2W，面积72.99平，总价160W</t>
    <phoneticPr fontId="1" type="noConversion"/>
  </si>
  <si>
    <t>均价4.89W，面积67.29平，总价329W</t>
    <phoneticPr fontId="1" type="noConversion"/>
  </si>
  <si>
    <t>住房贷款合计112W</t>
    <phoneticPr fontId="1" type="noConversion"/>
  </si>
  <si>
    <t>按市场价计算，资产总计634W</t>
    <phoneticPr fontId="1" type="noConversion"/>
  </si>
  <si>
    <t>按市场价计算，非流动资产合计511W</t>
    <phoneticPr fontId="1" type="noConversion"/>
  </si>
  <si>
    <t>按净资产计算，财务自由完成度25%。如果完成度100%则对应净资产为880W。</t>
    <phoneticPr fontId="1" type="noConversion"/>
  </si>
  <si>
    <t>支出</t>
    <phoneticPr fontId="7" type="noConversion"/>
  </si>
  <si>
    <t>财务自由完成度1</t>
    <phoneticPr fontId="7" type="noConversion"/>
  </si>
  <si>
    <r>
      <t>完成度</t>
    </r>
    <r>
      <rPr>
        <sz val="10"/>
        <rFont val="arial"/>
        <family val="2"/>
      </rPr>
      <t>2</t>
    </r>
    <phoneticPr fontId="7" type="noConversion"/>
  </si>
  <si>
    <t>被动收入</t>
    <phoneticPr fontId="7" type="noConversion"/>
  </si>
  <si>
    <t>2023年度 20240310</t>
    <phoneticPr fontId="1" type="noConversion"/>
  </si>
  <si>
    <t>住房贷款合计109W</t>
    <phoneticPr fontId="1" type="noConversion"/>
  </si>
  <si>
    <t>按净资产计算，财务自由完成度34%。如果完成度100%则对应净资产为880W。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</si>
</sst>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.0%"/>
    <numFmt numFmtId="178" formatCode="0.000_ "/>
    <numFmt numFmtId="179" formatCode="0.0000_ "/>
  </numFmts>
  <fonts count="2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2"/>
      <name val="宋体"/>
      <family val="3"/>
      <charset val="134"/>
    </font>
    <font>
      <b/>
      <sz val="10"/>
      <name val="arial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color indexed="10"/>
      <name val="arial"/>
      <family val="2"/>
    </font>
    <font>
      <sz val="12"/>
      <name val="Arial"/>
      <family val="2"/>
    </font>
    <font>
      <sz val="10.5"/>
      <name val="Arial"/>
      <family val="2"/>
    </font>
    <font>
      <b/>
      <i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indexed="12"/>
      <name val="Arial"/>
      <family val="2"/>
    </font>
    <font>
      <sz val="11"/>
      <color theme="1"/>
      <name val="等线"/>
      <family val="3"/>
      <charset val="134"/>
      <scheme val="minor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i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5" fillId="0" borderId="0"/>
    <xf numFmtId="0" fontId="5" fillId="0" borderId="0"/>
    <xf numFmtId="0" fontId="10" fillId="0" borderId="0">
      <alignment vertical="center"/>
    </xf>
  </cellStyleXfs>
  <cellXfs count="71">
    <xf numFmtId="0" fontId="0" fillId="0" borderId="0" xfId="0"/>
    <xf numFmtId="0" fontId="2" fillId="0" borderId="0" xfId="0" applyFont="1"/>
    <xf numFmtId="176" fontId="2" fillId="0" borderId="0" xfId="0" applyNumberFormat="1" applyFont="1"/>
    <xf numFmtId="176" fontId="0" fillId="0" borderId="0" xfId="0" applyNumberFormat="1"/>
    <xf numFmtId="177" fontId="2" fillId="0" borderId="0" xfId="0" applyNumberFormat="1" applyFont="1"/>
    <xf numFmtId="0" fontId="6" fillId="0" borderId="0" xfId="1" applyFont="1"/>
    <xf numFmtId="0" fontId="5" fillId="0" borderId="0" xfId="1"/>
    <xf numFmtId="0" fontId="8" fillId="0" borderId="0" xfId="1" applyFont="1"/>
    <xf numFmtId="0" fontId="9" fillId="0" borderId="0" xfId="1" applyFont="1"/>
    <xf numFmtId="0" fontId="10" fillId="0" borderId="0" xfId="1" applyFont="1"/>
    <xf numFmtId="176" fontId="10" fillId="0" borderId="0" xfId="1" applyNumberFormat="1" applyFont="1"/>
    <xf numFmtId="0" fontId="11" fillId="0" borderId="0" xfId="1" applyFont="1"/>
    <xf numFmtId="176" fontId="6" fillId="0" borderId="0" xfId="1" applyNumberFormat="1" applyFont="1"/>
    <xf numFmtId="177" fontId="12" fillId="0" borderId="0" xfId="1" applyNumberFormat="1" applyFont="1"/>
    <xf numFmtId="177" fontId="10" fillId="0" borderId="0" xfId="1" applyNumberFormat="1" applyFont="1"/>
    <xf numFmtId="176" fontId="13" fillId="0" borderId="0" xfId="1" applyNumberFormat="1" applyFont="1" applyAlignment="1">
      <alignment horizontal="right"/>
    </xf>
    <xf numFmtId="176" fontId="5" fillId="0" borderId="0" xfId="1" applyNumberFormat="1"/>
    <xf numFmtId="177" fontId="10" fillId="0" borderId="0" xfId="1" applyNumberFormat="1" applyFont="1" applyAlignment="1">
      <alignment horizontal="right"/>
    </xf>
    <xf numFmtId="0" fontId="14" fillId="0" borderId="0" xfId="1" applyFont="1"/>
    <xf numFmtId="3" fontId="15" fillId="0" borderId="1" xfId="1" applyNumberFormat="1" applyFont="1" applyBorder="1" applyAlignment="1">
      <alignment horizontal="justify" vertical="top" wrapText="1"/>
    </xf>
    <xf numFmtId="3" fontId="15" fillId="0" borderId="2" xfId="1" applyNumberFormat="1" applyFont="1" applyBorder="1" applyAlignment="1">
      <alignment horizontal="justify" vertical="top" wrapText="1"/>
    </xf>
    <xf numFmtId="3" fontId="5" fillId="0" borderId="0" xfId="1" applyNumberFormat="1"/>
    <xf numFmtId="0" fontId="6" fillId="0" borderId="0" xfId="1" applyFont="1" applyAlignment="1">
      <alignment horizontal="center"/>
    </xf>
    <xf numFmtId="176" fontId="14" fillId="0" borderId="0" xfId="1" applyNumberFormat="1" applyFont="1"/>
    <xf numFmtId="176" fontId="13" fillId="0" borderId="0" xfId="1" applyNumberFormat="1" applyFont="1"/>
    <xf numFmtId="177" fontId="13" fillId="0" borderId="0" xfId="1" applyNumberFormat="1" applyFont="1"/>
    <xf numFmtId="0" fontId="16" fillId="0" borderId="0" xfId="1" applyFont="1"/>
    <xf numFmtId="0" fontId="17" fillId="0" borderId="0" xfId="1" applyFont="1"/>
    <xf numFmtId="176" fontId="10" fillId="0" borderId="0" xfId="1" applyNumberFormat="1" applyFont="1" applyAlignment="1">
      <alignment horizontal="center"/>
    </xf>
    <xf numFmtId="176" fontId="12" fillId="0" borderId="0" xfId="1" applyNumberFormat="1" applyFont="1"/>
    <xf numFmtId="178" fontId="8" fillId="0" borderId="0" xfId="1" applyNumberFormat="1" applyFont="1" applyAlignment="1">
      <alignment vertical="center" wrapText="1"/>
    </xf>
    <xf numFmtId="179" fontId="6" fillId="0" borderId="0" xfId="1" applyNumberFormat="1" applyFont="1" applyAlignment="1">
      <alignment horizontal="center" vertical="center" wrapText="1"/>
    </xf>
    <xf numFmtId="179" fontId="8" fillId="0" borderId="0" xfId="1" applyNumberFormat="1" applyFont="1" applyAlignment="1">
      <alignment vertical="center" wrapText="1"/>
    </xf>
    <xf numFmtId="0" fontId="10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177" fontId="6" fillId="0" borderId="0" xfId="1" applyNumberFormat="1" applyFont="1"/>
    <xf numFmtId="176" fontId="18" fillId="0" borderId="0" xfId="1" applyNumberFormat="1" applyFont="1"/>
    <xf numFmtId="0" fontId="19" fillId="0" borderId="0" xfId="0" applyFont="1"/>
    <xf numFmtId="176" fontId="19" fillId="0" borderId="0" xfId="0" applyNumberFormat="1" applyFont="1"/>
    <xf numFmtId="0" fontId="8" fillId="0" borderId="0" xfId="2" applyFont="1"/>
    <xf numFmtId="178" fontId="8" fillId="0" borderId="0" xfId="2" applyNumberFormat="1" applyFont="1" applyAlignment="1">
      <alignment vertical="center" wrapText="1"/>
    </xf>
    <xf numFmtId="179" fontId="6" fillId="0" borderId="0" xfId="2" applyNumberFormat="1" applyFont="1" applyAlignment="1">
      <alignment horizontal="center" vertical="center" wrapText="1"/>
    </xf>
    <xf numFmtId="179" fontId="8" fillId="0" borderId="0" xfId="2" applyNumberFormat="1" applyFont="1" applyAlignment="1">
      <alignment vertical="center" wrapText="1"/>
    </xf>
    <xf numFmtId="0" fontId="10" fillId="0" borderId="0" xfId="2" applyFont="1"/>
    <xf numFmtId="0" fontId="6" fillId="0" borderId="0" xfId="2" applyFont="1" applyAlignment="1">
      <alignment horizontal="right"/>
    </xf>
    <xf numFmtId="176" fontId="6" fillId="0" borderId="0" xfId="2" applyNumberFormat="1" applyFont="1"/>
    <xf numFmtId="177" fontId="6" fillId="0" borderId="0" xfId="2" applyNumberFormat="1" applyFont="1" applyAlignment="1">
      <alignment horizontal="center" vertical="center" wrapText="1"/>
    </xf>
    <xf numFmtId="176" fontId="6" fillId="0" borderId="0" xfId="3" applyNumberFormat="1" applyFont="1">
      <alignment vertical="center"/>
    </xf>
    <xf numFmtId="0" fontId="6" fillId="0" borderId="0" xfId="2" applyFont="1"/>
    <xf numFmtId="0" fontId="10" fillId="0" borderId="0" xfId="2" applyFont="1" applyAlignment="1">
      <alignment horizontal="right"/>
    </xf>
    <xf numFmtId="176" fontId="10" fillId="0" borderId="0" xfId="2" applyNumberFormat="1" applyFont="1"/>
    <xf numFmtId="177" fontId="10" fillId="0" borderId="0" xfId="2" applyNumberFormat="1" applyFont="1" applyAlignment="1">
      <alignment horizontal="center" vertical="center" wrapText="1"/>
    </xf>
    <xf numFmtId="177" fontId="20" fillId="0" borderId="0" xfId="2" applyNumberFormat="1" applyFont="1" applyAlignment="1">
      <alignment horizontal="center" vertical="center" wrapText="1"/>
    </xf>
    <xf numFmtId="176" fontId="10" fillId="0" borderId="0" xfId="3" applyNumberFormat="1">
      <alignment vertical="center"/>
    </xf>
    <xf numFmtId="0" fontId="20" fillId="0" borderId="0" xfId="2" applyFont="1" applyAlignment="1">
      <alignment horizontal="right"/>
    </xf>
    <xf numFmtId="176" fontId="20" fillId="0" borderId="0" xfId="2" applyNumberFormat="1" applyFont="1"/>
    <xf numFmtId="0" fontId="20" fillId="0" borderId="0" xfId="2" applyFont="1"/>
    <xf numFmtId="0" fontId="14" fillId="0" borderId="0" xfId="2" applyFont="1"/>
    <xf numFmtId="176" fontId="14" fillId="0" borderId="0" xfId="2" applyNumberFormat="1" applyFont="1"/>
    <xf numFmtId="177" fontId="0" fillId="0" borderId="0" xfId="0" applyNumberFormat="1"/>
    <xf numFmtId="177" fontId="19" fillId="2" borderId="0" xfId="0" applyNumberFormat="1" applyFont="1" applyFill="1"/>
    <xf numFmtId="177" fontId="0" fillId="2" borderId="0" xfId="0" applyNumberFormat="1" applyFill="1"/>
    <xf numFmtId="177" fontId="2" fillId="2" borderId="0" xfId="0" applyNumberFormat="1" applyFont="1" applyFill="1"/>
    <xf numFmtId="177" fontId="21" fillId="0" borderId="0" xfId="2" applyNumberFormat="1" applyFont="1" applyAlignment="1">
      <alignment horizontal="center" vertical="center" wrapText="1"/>
    </xf>
    <xf numFmtId="176" fontId="0" fillId="2" borderId="0" xfId="0" applyNumberFormat="1" applyFill="1"/>
    <xf numFmtId="177" fontId="19" fillId="0" borderId="0" xfId="0" applyNumberFormat="1" applyFont="1"/>
    <xf numFmtId="177" fontId="22" fillId="0" borderId="0" xfId="2" applyNumberFormat="1" applyFont="1" applyAlignment="1">
      <alignment horizontal="center" vertical="center" wrapText="1"/>
    </xf>
    <xf numFmtId="176" fontId="11" fillId="0" borderId="0" xfId="2" applyNumberFormat="1" applyFont="1"/>
    <xf numFmtId="177" fontId="11" fillId="0" borderId="0" xfId="2" applyNumberFormat="1" applyFont="1" applyAlignment="1">
      <alignment horizontal="center" vertical="center" wrapText="1"/>
    </xf>
    <xf numFmtId="177" fontId="23" fillId="0" borderId="0" xfId="2" applyNumberFormat="1" applyFont="1" applyAlignment="1">
      <alignment horizontal="center" vertical="center" wrapText="1"/>
    </xf>
    <xf numFmtId="176" fontId="11" fillId="0" borderId="0" xfId="3" applyNumberFormat="1" applyFont="1">
      <alignment vertical="center"/>
    </xf>
  </cellXfs>
  <cellStyles count="4">
    <cellStyle name="常规" xfId="0" builtinId="0"/>
    <cellStyle name="常规 2" xfId="1" xr:uid="{022913A0-21E0-4EBC-BB1F-B44D752F3C88}"/>
    <cellStyle name="常规_Book1" xfId="3" xr:uid="{E80C0458-289E-4C51-8A7B-C59A20311519}"/>
    <cellStyle name="常规_资产负债表" xfId="2" xr:uid="{C1429C58-CB77-442A-B9DD-3AFC3B49FA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5;&#30340;&#36164;&#26009;/A&#25105;&#30340;&#36130;&#21153;/&#25910;&#25903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5;&#30340;&#36164;&#26009;/&#24453;&#22788;&#29702;&#30340;&#39033;&#30446;/20190729/&#25105;&#30340;&#36164;&#20135;&#36127;&#20538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&#25105;&#30340;&#36164;&#26009;\A2&#25105;&#30340;&#36130;&#21153;\&#25105;&#30340;&#25910;&#25903;&#34920;.xlsx" TargetMode="External"/><Relationship Id="rId1" Type="http://schemas.openxmlformats.org/officeDocument/2006/relationships/externalLinkPath" Target="&#25105;&#30340;&#25910;&#25903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5;&#30340;&#36164;&#26009;/A&#25105;&#30340;&#36130;&#21153;/&#20854;&#20182;&#22266;&#23450;&#25910;&#2083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7年度"/>
      <sheetName val="2016年度"/>
      <sheetName val="2015年度"/>
      <sheetName val="2014年度"/>
      <sheetName val="2013年度"/>
      <sheetName val="2012年度"/>
      <sheetName val="2011年度"/>
      <sheetName val="2010年度"/>
      <sheetName val="2009年度"/>
      <sheetName val="2008年度"/>
      <sheetName val="2007年度"/>
      <sheetName val="2006年度"/>
      <sheetName val="2005年度"/>
    </sheetNames>
    <sheetDataSet>
      <sheetData sheetId="0" refreshError="1"/>
      <sheetData sheetId="1">
        <row r="15">
          <cell r="B15">
            <v>192386.51905600005</v>
          </cell>
        </row>
        <row r="16">
          <cell r="B16">
            <v>255944.30905600006</v>
          </cell>
        </row>
      </sheetData>
      <sheetData sheetId="2">
        <row r="10">
          <cell r="B10">
            <v>174981</v>
          </cell>
        </row>
        <row r="11">
          <cell r="B11">
            <v>95925</v>
          </cell>
        </row>
      </sheetData>
      <sheetData sheetId="3">
        <row r="10">
          <cell r="B10">
            <v>145394.21808219174</v>
          </cell>
        </row>
        <row r="11">
          <cell r="B11">
            <v>111742.21808219174</v>
          </cell>
        </row>
        <row r="24">
          <cell r="B24">
            <v>21959.41</v>
          </cell>
        </row>
      </sheetData>
      <sheetData sheetId="4">
        <row r="11">
          <cell r="B11">
            <v>43515.790000000008</v>
          </cell>
        </row>
        <row r="28">
          <cell r="B28">
            <v>29637.840000000004</v>
          </cell>
        </row>
        <row r="41">
          <cell r="B41">
            <v>30658.300000000003</v>
          </cell>
        </row>
        <row r="55">
          <cell r="B55">
            <v>1248</v>
          </cell>
        </row>
      </sheetData>
      <sheetData sheetId="5">
        <row r="10">
          <cell r="B10">
            <v>40079.648850574711</v>
          </cell>
        </row>
        <row r="35">
          <cell r="B35">
            <v>36823.537500000006</v>
          </cell>
        </row>
        <row r="51">
          <cell r="B51">
            <v>28730.865000000002</v>
          </cell>
        </row>
        <row r="64">
          <cell r="B64">
            <v>15218.024999999998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历年报表"/>
      <sheetName val="2018年度"/>
      <sheetName val="2017年度"/>
      <sheetName val="2016年度"/>
      <sheetName val="2015年度"/>
      <sheetName val="2014年度"/>
      <sheetName val="2013年度"/>
      <sheetName val="2012年度"/>
      <sheetName val="2011年度"/>
      <sheetName val="2010年度"/>
      <sheetName val="2009年度"/>
      <sheetName val="2008年度"/>
      <sheetName val="2007年度"/>
      <sheetName val="2006年度"/>
      <sheetName val="2005年度"/>
    </sheetNames>
    <sheetDataSet>
      <sheetData sheetId="0" refreshError="1"/>
      <sheetData sheetId="1" refreshError="1"/>
      <sheetData sheetId="2" refreshError="1"/>
      <sheetData sheetId="3">
        <row r="14">
          <cell r="B14">
            <v>1136230.439056</v>
          </cell>
        </row>
        <row r="15">
          <cell r="B15">
            <v>596371.43905599997</v>
          </cell>
        </row>
      </sheetData>
      <sheetData sheetId="4">
        <row r="14">
          <cell r="B14">
            <v>804143.91999999993</v>
          </cell>
        </row>
        <row r="15">
          <cell r="B15">
            <v>403984.91999999993</v>
          </cell>
        </row>
      </sheetData>
      <sheetData sheetId="5">
        <row r="14">
          <cell r="B14">
            <v>366413.81</v>
          </cell>
        </row>
        <row r="15">
          <cell r="B15">
            <v>296254.81</v>
          </cell>
        </row>
      </sheetData>
      <sheetData sheetId="6" refreshError="1"/>
      <sheetData sheetId="7">
        <row r="17">
          <cell r="B17">
            <v>0.2526098128085309</v>
          </cell>
        </row>
        <row r="20">
          <cell r="B20">
            <v>235447.28</v>
          </cell>
        </row>
        <row r="21">
          <cell r="B21">
            <v>158662.28</v>
          </cell>
        </row>
        <row r="22">
          <cell r="B22">
            <v>40079.648850574711</v>
          </cell>
        </row>
      </sheetData>
      <sheetData sheetId="8">
        <row r="13">
          <cell r="B13">
            <v>197484.22999999998</v>
          </cell>
        </row>
        <row r="14">
          <cell r="B14">
            <v>120699.22999999998</v>
          </cell>
        </row>
        <row r="15">
          <cell r="B15">
            <v>39926</v>
          </cell>
        </row>
      </sheetData>
      <sheetData sheetId="9">
        <row r="13">
          <cell r="B13">
            <v>160444</v>
          </cell>
        </row>
        <row r="14">
          <cell r="B14">
            <v>83659</v>
          </cell>
        </row>
        <row r="15">
          <cell r="B15">
            <v>32333</v>
          </cell>
        </row>
        <row r="17">
          <cell r="B17">
            <v>0.38648561421962968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年度"/>
      <sheetName val="2022年度"/>
      <sheetName val="2021年度"/>
      <sheetName val="2020年度"/>
      <sheetName val="2019年度"/>
      <sheetName val="2018年度"/>
    </sheetNames>
    <sheetDataSet>
      <sheetData sheetId="0">
        <row r="14">
          <cell r="B14">
            <v>163851</v>
          </cell>
        </row>
      </sheetData>
      <sheetData sheetId="1">
        <row r="14">
          <cell r="B14">
            <v>176135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4年度"/>
      <sheetName val="Sheet2"/>
      <sheetName val="Sheet3"/>
    </sheetNames>
    <sheetDataSet>
      <sheetData sheetId="0">
        <row r="10">
          <cell r="D10">
            <v>600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CA034-0F57-45CE-94AE-77F663E59C93}">
  <dimension ref="A1:R24"/>
  <sheetViews>
    <sheetView workbookViewId="0">
      <selection activeCell="O3" sqref="O3"/>
    </sheetView>
  </sheetViews>
  <sheetFormatPr defaultColWidth="10" defaultRowHeight="15" customHeight="1" x14ac:dyDescent="0.25"/>
  <cols>
    <col min="1" max="2" width="9.109375" style="57" bestFit="1" customWidth="1"/>
    <col min="3" max="3" width="9.21875" style="57" bestFit="1" customWidth="1"/>
    <col min="4" max="5" width="10.6640625" style="57" bestFit="1" customWidth="1"/>
    <col min="6" max="6" width="10" style="57"/>
    <col min="7" max="7" width="7.44140625" style="57" bestFit="1" customWidth="1"/>
    <col min="8" max="8" width="11.5546875" style="57" customWidth="1"/>
    <col min="9" max="10" width="13.5546875" style="57" bestFit="1" customWidth="1"/>
    <col min="11" max="11" width="13.5546875" style="57" customWidth="1"/>
    <col min="12" max="12" width="9.88671875" style="57" customWidth="1"/>
    <col min="13" max="15" width="10" style="57"/>
    <col min="16" max="16" width="16.109375" style="57" bestFit="1" customWidth="1"/>
    <col min="17" max="17" width="9.5546875" style="57" bestFit="1" customWidth="1"/>
    <col min="18" max="257" width="10" style="57"/>
    <col min="258" max="259" width="9.109375" style="57" bestFit="1" customWidth="1"/>
    <col min="260" max="260" width="8.5546875" style="57" bestFit="1" customWidth="1"/>
    <col min="261" max="261" width="9.44140625" style="57" bestFit="1" customWidth="1"/>
    <col min="262" max="262" width="8.5546875" style="57" bestFit="1" customWidth="1"/>
    <col min="263" max="263" width="10" style="57"/>
    <col min="264" max="264" width="7.44140625" style="57" bestFit="1" customWidth="1"/>
    <col min="265" max="265" width="11.5546875" style="57" customWidth="1"/>
    <col min="266" max="267" width="13.5546875" style="57" bestFit="1" customWidth="1"/>
    <col min="268" max="268" width="13.5546875" style="57" customWidth="1"/>
    <col min="269" max="269" width="9.88671875" style="57" customWidth="1"/>
    <col min="270" max="513" width="10" style="57"/>
    <col min="514" max="515" width="9.109375" style="57" bestFit="1" customWidth="1"/>
    <col min="516" max="516" width="8.5546875" style="57" bestFit="1" customWidth="1"/>
    <col min="517" max="517" width="9.44140625" style="57" bestFit="1" customWidth="1"/>
    <col min="518" max="518" width="8.5546875" style="57" bestFit="1" customWidth="1"/>
    <col min="519" max="519" width="10" style="57"/>
    <col min="520" max="520" width="7.44140625" style="57" bestFit="1" customWidth="1"/>
    <col min="521" max="521" width="11.5546875" style="57" customWidth="1"/>
    <col min="522" max="523" width="13.5546875" style="57" bestFit="1" customWidth="1"/>
    <col min="524" max="524" width="13.5546875" style="57" customWidth="1"/>
    <col min="525" max="525" width="9.88671875" style="57" customWidth="1"/>
    <col min="526" max="769" width="10" style="57"/>
    <col min="770" max="771" width="9.109375" style="57" bestFit="1" customWidth="1"/>
    <col min="772" max="772" width="8.5546875" style="57" bestFit="1" customWidth="1"/>
    <col min="773" max="773" width="9.44140625" style="57" bestFit="1" customWidth="1"/>
    <col min="774" max="774" width="8.5546875" style="57" bestFit="1" customWidth="1"/>
    <col min="775" max="775" width="10" style="57"/>
    <col min="776" max="776" width="7.44140625" style="57" bestFit="1" customWidth="1"/>
    <col min="777" max="777" width="11.5546875" style="57" customWidth="1"/>
    <col min="778" max="779" width="13.5546875" style="57" bestFit="1" customWidth="1"/>
    <col min="780" max="780" width="13.5546875" style="57" customWidth="1"/>
    <col min="781" max="781" width="9.88671875" style="57" customWidth="1"/>
    <col min="782" max="1025" width="10" style="57"/>
    <col min="1026" max="1027" width="9.109375" style="57" bestFit="1" customWidth="1"/>
    <col min="1028" max="1028" width="8.5546875" style="57" bestFit="1" customWidth="1"/>
    <col min="1029" max="1029" width="9.44140625" style="57" bestFit="1" customWidth="1"/>
    <col min="1030" max="1030" width="8.5546875" style="57" bestFit="1" customWidth="1"/>
    <col min="1031" max="1031" width="10" style="57"/>
    <col min="1032" max="1032" width="7.44140625" style="57" bestFit="1" customWidth="1"/>
    <col min="1033" max="1033" width="11.5546875" style="57" customWidth="1"/>
    <col min="1034" max="1035" width="13.5546875" style="57" bestFit="1" customWidth="1"/>
    <col min="1036" max="1036" width="13.5546875" style="57" customWidth="1"/>
    <col min="1037" max="1037" width="9.88671875" style="57" customWidth="1"/>
    <col min="1038" max="1281" width="10" style="57"/>
    <col min="1282" max="1283" width="9.109375" style="57" bestFit="1" customWidth="1"/>
    <col min="1284" max="1284" width="8.5546875" style="57" bestFit="1" customWidth="1"/>
    <col min="1285" max="1285" width="9.44140625" style="57" bestFit="1" customWidth="1"/>
    <col min="1286" max="1286" width="8.5546875" style="57" bestFit="1" customWidth="1"/>
    <col min="1287" max="1287" width="10" style="57"/>
    <col min="1288" max="1288" width="7.44140625" style="57" bestFit="1" customWidth="1"/>
    <col min="1289" max="1289" width="11.5546875" style="57" customWidth="1"/>
    <col min="1290" max="1291" width="13.5546875" style="57" bestFit="1" customWidth="1"/>
    <col min="1292" max="1292" width="13.5546875" style="57" customWidth="1"/>
    <col min="1293" max="1293" width="9.88671875" style="57" customWidth="1"/>
    <col min="1294" max="1537" width="10" style="57"/>
    <col min="1538" max="1539" width="9.109375" style="57" bestFit="1" customWidth="1"/>
    <col min="1540" max="1540" width="8.5546875" style="57" bestFit="1" customWidth="1"/>
    <col min="1541" max="1541" width="9.44140625" style="57" bestFit="1" customWidth="1"/>
    <col min="1542" max="1542" width="8.5546875" style="57" bestFit="1" customWidth="1"/>
    <col min="1543" max="1543" width="10" style="57"/>
    <col min="1544" max="1544" width="7.44140625" style="57" bestFit="1" customWidth="1"/>
    <col min="1545" max="1545" width="11.5546875" style="57" customWidth="1"/>
    <col min="1546" max="1547" width="13.5546875" style="57" bestFit="1" customWidth="1"/>
    <col min="1548" max="1548" width="13.5546875" style="57" customWidth="1"/>
    <col min="1549" max="1549" width="9.88671875" style="57" customWidth="1"/>
    <col min="1550" max="1793" width="10" style="57"/>
    <col min="1794" max="1795" width="9.109375" style="57" bestFit="1" customWidth="1"/>
    <col min="1796" max="1796" width="8.5546875" style="57" bestFit="1" customWidth="1"/>
    <col min="1797" max="1797" width="9.44140625" style="57" bestFit="1" customWidth="1"/>
    <col min="1798" max="1798" width="8.5546875" style="57" bestFit="1" customWidth="1"/>
    <col min="1799" max="1799" width="10" style="57"/>
    <col min="1800" max="1800" width="7.44140625" style="57" bestFit="1" customWidth="1"/>
    <col min="1801" max="1801" width="11.5546875" style="57" customWidth="1"/>
    <col min="1802" max="1803" width="13.5546875" style="57" bestFit="1" customWidth="1"/>
    <col min="1804" max="1804" width="13.5546875" style="57" customWidth="1"/>
    <col min="1805" max="1805" width="9.88671875" style="57" customWidth="1"/>
    <col min="1806" max="2049" width="10" style="57"/>
    <col min="2050" max="2051" width="9.109375" style="57" bestFit="1" customWidth="1"/>
    <col min="2052" max="2052" width="8.5546875" style="57" bestFit="1" customWidth="1"/>
    <col min="2053" max="2053" width="9.44140625" style="57" bestFit="1" customWidth="1"/>
    <col min="2054" max="2054" width="8.5546875" style="57" bestFit="1" customWidth="1"/>
    <col min="2055" max="2055" width="10" style="57"/>
    <col min="2056" max="2056" width="7.44140625" style="57" bestFit="1" customWidth="1"/>
    <col min="2057" max="2057" width="11.5546875" style="57" customWidth="1"/>
    <col min="2058" max="2059" width="13.5546875" style="57" bestFit="1" customWidth="1"/>
    <col min="2060" max="2060" width="13.5546875" style="57" customWidth="1"/>
    <col min="2061" max="2061" width="9.88671875" style="57" customWidth="1"/>
    <col min="2062" max="2305" width="10" style="57"/>
    <col min="2306" max="2307" width="9.109375" style="57" bestFit="1" customWidth="1"/>
    <col min="2308" max="2308" width="8.5546875" style="57" bestFit="1" customWidth="1"/>
    <col min="2309" max="2309" width="9.44140625" style="57" bestFit="1" customWidth="1"/>
    <col min="2310" max="2310" width="8.5546875" style="57" bestFit="1" customWidth="1"/>
    <col min="2311" max="2311" width="10" style="57"/>
    <col min="2312" max="2312" width="7.44140625" style="57" bestFit="1" customWidth="1"/>
    <col min="2313" max="2313" width="11.5546875" style="57" customWidth="1"/>
    <col min="2314" max="2315" width="13.5546875" style="57" bestFit="1" customWidth="1"/>
    <col min="2316" max="2316" width="13.5546875" style="57" customWidth="1"/>
    <col min="2317" max="2317" width="9.88671875" style="57" customWidth="1"/>
    <col min="2318" max="2561" width="10" style="57"/>
    <col min="2562" max="2563" width="9.109375" style="57" bestFit="1" customWidth="1"/>
    <col min="2564" max="2564" width="8.5546875" style="57" bestFit="1" customWidth="1"/>
    <col min="2565" max="2565" width="9.44140625" style="57" bestFit="1" customWidth="1"/>
    <col min="2566" max="2566" width="8.5546875" style="57" bestFit="1" customWidth="1"/>
    <col min="2567" max="2567" width="10" style="57"/>
    <col min="2568" max="2568" width="7.44140625" style="57" bestFit="1" customWidth="1"/>
    <col min="2569" max="2569" width="11.5546875" style="57" customWidth="1"/>
    <col min="2570" max="2571" width="13.5546875" style="57" bestFit="1" customWidth="1"/>
    <col min="2572" max="2572" width="13.5546875" style="57" customWidth="1"/>
    <col min="2573" max="2573" width="9.88671875" style="57" customWidth="1"/>
    <col min="2574" max="2817" width="10" style="57"/>
    <col min="2818" max="2819" width="9.109375" style="57" bestFit="1" customWidth="1"/>
    <col min="2820" max="2820" width="8.5546875" style="57" bestFit="1" customWidth="1"/>
    <col min="2821" max="2821" width="9.44140625" style="57" bestFit="1" customWidth="1"/>
    <col min="2822" max="2822" width="8.5546875" style="57" bestFit="1" customWidth="1"/>
    <col min="2823" max="2823" width="10" style="57"/>
    <col min="2824" max="2824" width="7.44140625" style="57" bestFit="1" customWidth="1"/>
    <col min="2825" max="2825" width="11.5546875" style="57" customWidth="1"/>
    <col min="2826" max="2827" width="13.5546875" style="57" bestFit="1" customWidth="1"/>
    <col min="2828" max="2828" width="13.5546875" style="57" customWidth="1"/>
    <col min="2829" max="2829" width="9.88671875" style="57" customWidth="1"/>
    <col min="2830" max="3073" width="10" style="57"/>
    <col min="3074" max="3075" width="9.109375" style="57" bestFit="1" customWidth="1"/>
    <col min="3076" max="3076" width="8.5546875" style="57" bestFit="1" customWidth="1"/>
    <col min="3077" max="3077" width="9.44140625" style="57" bestFit="1" customWidth="1"/>
    <col min="3078" max="3078" width="8.5546875" style="57" bestFit="1" customWidth="1"/>
    <col min="3079" max="3079" width="10" style="57"/>
    <col min="3080" max="3080" width="7.44140625" style="57" bestFit="1" customWidth="1"/>
    <col min="3081" max="3081" width="11.5546875" style="57" customWidth="1"/>
    <col min="3082" max="3083" width="13.5546875" style="57" bestFit="1" customWidth="1"/>
    <col min="3084" max="3084" width="13.5546875" style="57" customWidth="1"/>
    <col min="3085" max="3085" width="9.88671875" style="57" customWidth="1"/>
    <col min="3086" max="3329" width="10" style="57"/>
    <col min="3330" max="3331" width="9.109375" style="57" bestFit="1" customWidth="1"/>
    <col min="3332" max="3332" width="8.5546875" style="57" bestFit="1" customWidth="1"/>
    <col min="3333" max="3333" width="9.44140625" style="57" bestFit="1" customWidth="1"/>
    <col min="3334" max="3334" width="8.5546875" style="57" bestFit="1" customWidth="1"/>
    <col min="3335" max="3335" width="10" style="57"/>
    <col min="3336" max="3336" width="7.44140625" style="57" bestFit="1" customWidth="1"/>
    <col min="3337" max="3337" width="11.5546875" style="57" customWidth="1"/>
    <col min="3338" max="3339" width="13.5546875" style="57" bestFit="1" customWidth="1"/>
    <col min="3340" max="3340" width="13.5546875" style="57" customWidth="1"/>
    <col min="3341" max="3341" width="9.88671875" style="57" customWidth="1"/>
    <col min="3342" max="3585" width="10" style="57"/>
    <col min="3586" max="3587" width="9.109375" style="57" bestFit="1" customWidth="1"/>
    <col min="3588" max="3588" width="8.5546875" style="57" bestFit="1" customWidth="1"/>
    <col min="3589" max="3589" width="9.44140625" style="57" bestFit="1" customWidth="1"/>
    <col min="3590" max="3590" width="8.5546875" style="57" bestFit="1" customWidth="1"/>
    <col min="3591" max="3591" width="10" style="57"/>
    <col min="3592" max="3592" width="7.44140625" style="57" bestFit="1" customWidth="1"/>
    <col min="3593" max="3593" width="11.5546875" style="57" customWidth="1"/>
    <col min="3594" max="3595" width="13.5546875" style="57" bestFit="1" customWidth="1"/>
    <col min="3596" max="3596" width="13.5546875" style="57" customWidth="1"/>
    <col min="3597" max="3597" width="9.88671875" style="57" customWidth="1"/>
    <col min="3598" max="3841" width="10" style="57"/>
    <col min="3842" max="3843" width="9.109375" style="57" bestFit="1" customWidth="1"/>
    <col min="3844" max="3844" width="8.5546875" style="57" bestFit="1" customWidth="1"/>
    <col min="3845" max="3845" width="9.44140625" style="57" bestFit="1" customWidth="1"/>
    <col min="3846" max="3846" width="8.5546875" style="57" bestFit="1" customWidth="1"/>
    <col min="3847" max="3847" width="10" style="57"/>
    <col min="3848" max="3848" width="7.44140625" style="57" bestFit="1" customWidth="1"/>
    <col min="3849" max="3849" width="11.5546875" style="57" customWidth="1"/>
    <col min="3850" max="3851" width="13.5546875" style="57" bestFit="1" customWidth="1"/>
    <col min="3852" max="3852" width="13.5546875" style="57" customWidth="1"/>
    <col min="3853" max="3853" width="9.88671875" style="57" customWidth="1"/>
    <col min="3854" max="4097" width="10" style="57"/>
    <col min="4098" max="4099" width="9.109375" style="57" bestFit="1" customWidth="1"/>
    <col min="4100" max="4100" width="8.5546875" style="57" bestFit="1" customWidth="1"/>
    <col min="4101" max="4101" width="9.44140625" style="57" bestFit="1" customWidth="1"/>
    <col min="4102" max="4102" width="8.5546875" style="57" bestFit="1" customWidth="1"/>
    <col min="4103" max="4103" width="10" style="57"/>
    <col min="4104" max="4104" width="7.44140625" style="57" bestFit="1" customWidth="1"/>
    <col min="4105" max="4105" width="11.5546875" style="57" customWidth="1"/>
    <col min="4106" max="4107" width="13.5546875" style="57" bestFit="1" customWidth="1"/>
    <col min="4108" max="4108" width="13.5546875" style="57" customWidth="1"/>
    <col min="4109" max="4109" width="9.88671875" style="57" customWidth="1"/>
    <col min="4110" max="4353" width="10" style="57"/>
    <col min="4354" max="4355" width="9.109375" style="57" bestFit="1" customWidth="1"/>
    <col min="4356" max="4356" width="8.5546875" style="57" bestFit="1" customWidth="1"/>
    <col min="4357" max="4357" width="9.44140625" style="57" bestFit="1" customWidth="1"/>
    <col min="4358" max="4358" width="8.5546875" style="57" bestFit="1" customWidth="1"/>
    <col min="4359" max="4359" width="10" style="57"/>
    <col min="4360" max="4360" width="7.44140625" style="57" bestFit="1" customWidth="1"/>
    <col min="4361" max="4361" width="11.5546875" style="57" customWidth="1"/>
    <col min="4362" max="4363" width="13.5546875" style="57" bestFit="1" customWidth="1"/>
    <col min="4364" max="4364" width="13.5546875" style="57" customWidth="1"/>
    <col min="4365" max="4365" width="9.88671875" style="57" customWidth="1"/>
    <col min="4366" max="4609" width="10" style="57"/>
    <col min="4610" max="4611" width="9.109375" style="57" bestFit="1" customWidth="1"/>
    <col min="4612" max="4612" width="8.5546875" style="57" bestFit="1" customWidth="1"/>
    <col min="4613" max="4613" width="9.44140625" style="57" bestFit="1" customWidth="1"/>
    <col min="4614" max="4614" width="8.5546875" style="57" bestFit="1" customWidth="1"/>
    <col min="4615" max="4615" width="10" style="57"/>
    <col min="4616" max="4616" width="7.44140625" style="57" bestFit="1" customWidth="1"/>
    <col min="4617" max="4617" width="11.5546875" style="57" customWidth="1"/>
    <col min="4618" max="4619" width="13.5546875" style="57" bestFit="1" customWidth="1"/>
    <col min="4620" max="4620" width="13.5546875" style="57" customWidth="1"/>
    <col min="4621" max="4621" width="9.88671875" style="57" customWidth="1"/>
    <col min="4622" max="4865" width="10" style="57"/>
    <col min="4866" max="4867" width="9.109375" style="57" bestFit="1" customWidth="1"/>
    <col min="4868" max="4868" width="8.5546875" style="57" bestFit="1" customWidth="1"/>
    <col min="4869" max="4869" width="9.44140625" style="57" bestFit="1" customWidth="1"/>
    <col min="4870" max="4870" width="8.5546875" style="57" bestFit="1" customWidth="1"/>
    <col min="4871" max="4871" width="10" style="57"/>
    <col min="4872" max="4872" width="7.44140625" style="57" bestFit="1" customWidth="1"/>
    <col min="4873" max="4873" width="11.5546875" style="57" customWidth="1"/>
    <col min="4874" max="4875" width="13.5546875" style="57" bestFit="1" customWidth="1"/>
    <col min="4876" max="4876" width="13.5546875" style="57" customWidth="1"/>
    <col min="4877" max="4877" width="9.88671875" style="57" customWidth="1"/>
    <col min="4878" max="5121" width="10" style="57"/>
    <col min="5122" max="5123" width="9.109375" style="57" bestFit="1" customWidth="1"/>
    <col min="5124" max="5124" width="8.5546875" style="57" bestFit="1" customWidth="1"/>
    <col min="5125" max="5125" width="9.44140625" style="57" bestFit="1" customWidth="1"/>
    <col min="5126" max="5126" width="8.5546875" style="57" bestFit="1" customWidth="1"/>
    <col min="5127" max="5127" width="10" style="57"/>
    <col min="5128" max="5128" width="7.44140625" style="57" bestFit="1" customWidth="1"/>
    <col min="5129" max="5129" width="11.5546875" style="57" customWidth="1"/>
    <col min="5130" max="5131" width="13.5546875" style="57" bestFit="1" customWidth="1"/>
    <col min="5132" max="5132" width="13.5546875" style="57" customWidth="1"/>
    <col min="5133" max="5133" width="9.88671875" style="57" customWidth="1"/>
    <col min="5134" max="5377" width="10" style="57"/>
    <col min="5378" max="5379" width="9.109375" style="57" bestFit="1" customWidth="1"/>
    <col min="5380" max="5380" width="8.5546875" style="57" bestFit="1" customWidth="1"/>
    <col min="5381" max="5381" width="9.44140625" style="57" bestFit="1" customWidth="1"/>
    <col min="5382" max="5382" width="8.5546875" style="57" bestFit="1" customWidth="1"/>
    <col min="5383" max="5383" width="10" style="57"/>
    <col min="5384" max="5384" width="7.44140625" style="57" bestFit="1" customWidth="1"/>
    <col min="5385" max="5385" width="11.5546875" style="57" customWidth="1"/>
    <col min="5386" max="5387" width="13.5546875" style="57" bestFit="1" customWidth="1"/>
    <col min="5388" max="5388" width="13.5546875" style="57" customWidth="1"/>
    <col min="5389" max="5389" width="9.88671875" style="57" customWidth="1"/>
    <col min="5390" max="5633" width="10" style="57"/>
    <col min="5634" max="5635" width="9.109375" style="57" bestFit="1" customWidth="1"/>
    <col min="5636" max="5636" width="8.5546875" style="57" bestFit="1" customWidth="1"/>
    <col min="5637" max="5637" width="9.44140625" style="57" bestFit="1" customWidth="1"/>
    <col min="5638" max="5638" width="8.5546875" style="57" bestFit="1" customWidth="1"/>
    <col min="5639" max="5639" width="10" style="57"/>
    <col min="5640" max="5640" width="7.44140625" style="57" bestFit="1" customWidth="1"/>
    <col min="5641" max="5641" width="11.5546875" style="57" customWidth="1"/>
    <col min="5642" max="5643" width="13.5546875" style="57" bestFit="1" customWidth="1"/>
    <col min="5644" max="5644" width="13.5546875" style="57" customWidth="1"/>
    <col min="5645" max="5645" width="9.88671875" style="57" customWidth="1"/>
    <col min="5646" max="5889" width="10" style="57"/>
    <col min="5890" max="5891" width="9.109375" style="57" bestFit="1" customWidth="1"/>
    <col min="5892" max="5892" width="8.5546875" style="57" bestFit="1" customWidth="1"/>
    <col min="5893" max="5893" width="9.44140625" style="57" bestFit="1" customWidth="1"/>
    <col min="5894" max="5894" width="8.5546875" style="57" bestFit="1" customWidth="1"/>
    <col min="5895" max="5895" width="10" style="57"/>
    <col min="5896" max="5896" width="7.44140625" style="57" bestFit="1" customWidth="1"/>
    <col min="5897" max="5897" width="11.5546875" style="57" customWidth="1"/>
    <col min="5898" max="5899" width="13.5546875" style="57" bestFit="1" customWidth="1"/>
    <col min="5900" max="5900" width="13.5546875" style="57" customWidth="1"/>
    <col min="5901" max="5901" width="9.88671875" style="57" customWidth="1"/>
    <col min="5902" max="6145" width="10" style="57"/>
    <col min="6146" max="6147" width="9.109375" style="57" bestFit="1" customWidth="1"/>
    <col min="6148" max="6148" width="8.5546875" style="57" bestFit="1" customWidth="1"/>
    <col min="6149" max="6149" width="9.44140625" style="57" bestFit="1" customWidth="1"/>
    <col min="6150" max="6150" width="8.5546875" style="57" bestFit="1" customWidth="1"/>
    <col min="6151" max="6151" width="10" style="57"/>
    <col min="6152" max="6152" width="7.44140625" style="57" bestFit="1" customWidth="1"/>
    <col min="6153" max="6153" width="11.5546875" style="57" customWidth="1"/>
    <col min="6154" max="6155" width="13.5546875" style="57" bestFit="1" customWidth="1"/>
    <col min="6156" max="6156" width="13.5546875" style="57" customWidth="1"/>
    <col min="6157" max="6157" width="9.88671875" style="57" customWidth="1"/>
    <col min="6158" max="6401" width="10" style="57"/>
    <col min="6402" max="6403" width="9.109375" style="57" bestFit="1" customWidth="1"/>
    <col min="6404" max="6404" width="8.5546875" style="57" bestFit="1" customWidth="1"/>
    <col min="6405" max="6405" width="9.44140625" style="57" bestFit="1" customWidth="1"/>
    <col min="6406" max="6406" width="8.5546875" style="57" bestFit="1" customWidth="1"/>
    <col min="6407" max="6407" width="10" style="57"/>
    <col min="6408" max="6408" width="7.44140625" style="57" bestFit="1" customWidth="1"/>
    <col min="6409" max="6409" width="11.5546875" style="57" customWidth="1"/>
    <col min="6410" max="6411" width="13.5546875" style="57" bestFit="1" customWidth="1"/>
    <col min="6412" max="6412" width="13.5546875" style="57" customWidth="1"/>
    <col min="6413" max="6413" width="9.88671875" style="57" customWidth="1"/>
    <col min="6414" max="6657" width="10" style="57"/>
    <col min="6658" max="6659" width="9.109375" style="57" bestFit="1" customWidth="1"/>
    <col min="6660" max="6660" width="8.5546875" style="57" bestFit="1" customWidth="1"/>
    <col min="6661" max="6661" width="9.44140625" style="57" bestFit="1" customWidth="1"/>
    <col min="6662" max="6662" width="8.5546875" style="57" bestFit="1" customWidth="1"/>
    <col min="6663" max="6663" width="10" style="57"/>
    <col min="6664" max="6664" width="7.44140625" style="57" bestFit="1" customWidth="1"/>
    <col min="6665" max="6665" width="11.5546875" style="57" customWidth="1"/>
    <col min="6666" max="6667" width="13.5546875" style="57" bestFit="1" customWidth="1"/>
    <col min="6668" max="6668" width="13.5546875" style="57" customWidth="1"/>
    <col min="6669" max="6669" width="9.88671875" style="57" customWidth="1"/>
    <col min="6670" max="6913" width="10" style="57"/>
    <col min="6914" max="6915" width="9.109375" style="57" bestFit="1" customWidth="1"/>
    <col min="6916" max="6916" width="8.5546875" style="57" bestFit="1" customWidth="1"/>
    <col min="6917" max="6917" width="9.44140625" style="57" bestFit="1" customWidth="1"/>
    <col min="6918" max="6918" width="8.5546875" style="57" bestFit="1" customWidth="1"/>
    <col min="6919" max="6919" width="10" style="57"/>
    <col min="6920" max="6920" width="7.44140625" style="57" bestFit="1" customWidth="1"/>
    <col min="6921" max="6921" width="11.5546875" style="57" customWidth="1"/>
    <col min="6922" max="6923" width="13.5546875" style="57" bestFit="1" customWidth="1"/>
    <col min="6924" max="6924" width="13.5546875" style="57" customWidth="1"/>
    <col min="6925" max="6925" width="9.88671875" style="57" customWidth="1"/>
    <col min="6926" max="7169" width="10" style="57"/>
    <col min="7170" max="7171" width="9.109375" style="57" bestFit="1" customWidth="1"/>
    <col min="7172" max="7172" width="8.5546875" style="57" bestFit="1" customWidth="1"/>
    <col min="7173" max="7173" width="9.44140625" style="57" bestFit="1" customWidth="1"/>
    <col min="7174" max="7174" width="8.5546875" style="57" bestFit="1" customWidth="1"/>
    <col min="7175" max="7175" width="10" style="57"/>
    <col min="7176" max="7176" width="7.44140625" style="57" bestFit="1" customWidth="1"/>
    <col min="7177" max="7177" width="11.5546875" style="57" customWidth="1"/>
    <col min="7178" max="7179" width="13.5546875" style="57" bestFit="1" customWidth="1"/>
    <col min="7180" max="7180" width="13.5546875" style="57" customWidth="1"/>
    <col min="7181" max="7181" width="9.88671875" style="57" customWidth="1"/>
    <col min="7182" max="7425" width="10" style="57"/>
    <col min="7426" max="7427" width="9.109375" style="57" bestFit="1" customWidth="1"/>
    <col min="7428" max="7428" width="8.5546875" style="57" bestFit="1" customWidth="1"/>
    <col min="7429" max="7429" width="9.44140625" style="57" bestFit="1" customWidth="1"/>
    <col min="7430" max="7430" width="8.5546875" style="57" bestFit="1" customWidth="1"/>
    <col min="7431" max="7431" width="10" style="57"/>
    <col min="7432" max="7432" width="7.44140625" style="57" bestFit="1" customWidth="1"/>
    <col min="7433" max="7433" width="11.5546875" style="57" customWidth="1"/>
    <col min="7434" max="7435" width="13.5546875" style="57" bestFit="1" customWidth="1"/>
    <col min="7436" max="7436" width="13.5546875" style="57" customWidth="1"/>
    <col min="7437" max="7437" width="9.88671875" style="57" customWidth="1"/>
    <col min="7438" max="7681" width="10" style="57"/>
    <col min="7682" max="7683" width="9.109375" style="57" bestFit="1" customWidth="1"/>
    <col min="7684" max="7684" width="8.5546875" style="57" bestFit="1" customWidth="1"/>
    <col min="7685" max="7685" width="9.44140625" style="57" bestFit="1" customWidth="1"/>
    <col min="7686" max="7686" width="8.5546875" style="57" bestFit="1" customWidth="1"/>
    <col min="7687" max="7687" width="10" style="57"/>
    <col min="7688" max="7688" width="7.44140625" style="57" bestFit="1" customWidth="1"/>
    <col min="7689" max="7689" width="11.5546875" style="57" customWidth="1"/>
    <col min="7690" max="7691" width="13.5546875" style="57" bestFit="1" customWidth="1"/>
    <col min="7692" max="7692" width="13.5546875" style="57" customWidth="1"/>
    <col min="7693" max="7693" width="9.88671875" style="57" customWidth="1"/>
    <col min="7694" max="7937" width="10" style="57"/>
    <col min="7938" max="7939" width="9.109375" style="57" bestFit="1" customWidth="1"/>
    <col min="7940" max="7940" width="8.5546875" style="57" bestFit="1" customWidth="1"/>
    <col min="7941" max="7941" width="9.44140625" style="57" bestFit="1" customWidth="1"/>
    <col min="7942" max="7942" width="8.5546875" style="57" bestFit="1" customWidth="1"/>
    <col min="7943" max="7943" width="10" style="57"/>
    <col min="7944" max="7944" width="7.44140625" style="57" bestFit="1" customWidth="1"/>
    <col min="7945" max="7945" width="11.5546875" style="57" customWidth="1"/>
    <col min="7946" max="7947" width="13.5546875" style="57" bestFit="1" customWidth="1"/>
    <col min="7948" max="7948" width="13.5546875" style="57" customWidth="1"/>
    <col min="7949" max="7949" width="9.88671875" style="57" customWidth="1"/>
    <col min="7950" max="8193" width="10" style="57"/>
    <col min="8194" max="8195" width="9.109375" style="57" bestFit="1" customWidth="1"/>
    <col min="8196" max="8196" width="8.5546875" style="57" bestFit="1" customWidth="1"/>
    <col min="8197" max="8197" width="9.44140625" style="57" bestFit="1" customWidth="1"/>
    <col min="8198" max="8198" width="8.5546875" style="57" bestFit="1" customWidth="1"/>
    <col min="8199" max="8199" width="10" style="57"/>
    <col min="8200" max="8200" width="7.44140625" style="57" bestFit="1" customWidth="1"/>
    <col min="8201" max="8201" width="11.5546875" style="57" customWidth="1"/>
    <col min="8202" max="8203" width="13.5546875" style="57" bestFit="1" customWidth="1"/>
    <col min="8204" max="8204" width="13.5546875" style="57" customWidth="1"/>
    <col min="8205" max="8205" width="9.88671875" style="57" customWidth="1"/>
    <col min="8206" max="8449" width="10" style="57"/>
    <col min="8450" max="8451" width="9.109375" style="57" bestFit="1" customWidth="1"/>
    <col min="8452" max="8452" width="8.5546875" style="57" bestFit="1" customWidth="1"/>
    <col min="8453" max="8453" width="9.44140625" style="57" bestFit="1" customWidth="1"/>
    <col min="8454" max="8454" width="8.5546875" style="57" bestFit="1" customWidth="1"/>
    <col min="8455" max="8455" width="10" style="57"/>
    <col min="8456" max="8456" width="7.44140625" style="57" bestFit="1" customWidth="1"/>
    <col min="8457" max="8457" width="11.5546875" style="57" customWidth="1"/>
    <col min="8458" max="8459" width="13.5546875" style="57" bestFit="1" customWidth="1"/>
    <col min="8460" max="8460" width="13.5546875" style="57" customWidth="1"/>
    <col min="8461" max="8461" width="9.88671875" style="57" customWidth="1"/>
    <col min="8462" max="8705" width="10" style="57"/>
    <col min="8706" max="8707" width="9.109375" style="57" bestFit="1" customWidth="1"/>
    <col min="8708" max="8708" width="8.5546875" style="57" bestFit="1" customWidth="1"/>
    <col min="8709" max="8709" width="9.44140625" style="57" bestFit="1" customWidth="1"/>
    <col min="8710" max="8710" width="8.5546875" style="57" bestFit="1" customWidth="1"/>
    <col min="8711" max="8711" width="10" style="57"/>
    <col min="8712" max="8712" width="7.44140625" style="57" bestFit="1" customWidth="1"/>
    <col min="8713" max="8713" width="11.5546875" style="57" customWidth="1"/>
    <col min="8714" max="8715" width="13.5546875" style="57" bestFit="1" customWidth="1"/>
    <col min="8716" max="8716" width="13.5546875" style="57" customWidth="1"/>
    <col min="8717" max="8717" width="9.88671875" style="57" customWidth="1"/>
    <col min="8718" max="8961" width="10" style="57"/>
    <col min="8962" max="8963" width="9.109375" style="57" bestFit="1" customWidth="1"/>
    <col min="8964" max="8964" width="8.5546875" style="57" bestFit="1" customWidth="1"/>
    <col min="8965" max="8965" width="9.44140625" style="57" bestFit="1" customWidth="1"/>
    <col min="8966" max="8966" width="8.5546875" style="57" bestFit="1" customWidth="1"/>
    <col min="8967" max="8967" width="10" style="57"/>
    <col min="8968" max="8968" width="7.44140625" style="57" bestFit="1" customWidth="1"/>
    <col min="8969" max="8969" width="11.5546875" style="57" customWidth="1"/>
    <col min="8970" max="8971" width="13.5546875" style="57" bestFit="1" customWidth="1"/>
    <col min="8972" max="8972" width="13.5546875" style="57" customWidth="1"/>
    <col min="8973" max="8973" width="9.88671875" style="57" customWidth="1"/>
    <col min="8974" max="9217" width="10" style="57"/>
    <col min="9218" max="9219" width="9.109375" style="57" bestFit="1" customWidth="1"/>
    <col min="9220" max="9220" width="8.5546875" style="57" bestFit="1" customWidth="1"/>
    <col min="9221" max="9221" width="9.44140625" style="57" bestFit="1" customWidth="1"/>
    <col min="9222" max="9222" width="8.5546875" style="57" bestFit="1" customWidth="1"/>
    <col min="9223" max="9223" width="10" style="57"/>
    <col min="9224" max="9224" width="7.44140625" style="57" bestFit="1" customWidth="1"/>
    <col min="9225" max="9225" width="11.5546875" style="57" customWidth="1"/>
    <col min="9226" max="9227" width="13.5546875" style="57" bestFit="1" customWidth="1"/>
    <col min="9228" max="9228" width="13.5546875" style="57" customWidth="1"/>
    <col min="9229" max="9229" width="9.88671875" style="57" customWidth="1"/>
    <col min="9230" max="9473" width="10" style="57"/>
    <col min="9474" max="9475" width="9.109375" style="57" bestFit="1" customWidth="1"/>
    <col min="9476" max="9476" width="8.5546875" style="57" bestFit="1" customWidth="1"/>
    <col min="9477" max="9477" width="9.44140625" style="57" bestFit="1" customWidth="1"/>
    <col min="9478" max="9478" width="8.5546875" style="57" bestFit="1" customWidth="1"/>
    <col min="9479" max="9479" width="10" style="57"/>
    <col min="9480" max="9480" width="7.44140625" style="57" bestFit="1" customWidth="1"/>
    <col min="9481" max="9481" width="11.5546875" style="57" customWidth="1"/>
    <col min="9482" max="9483" width="13.5546875" style="57" bestFit="1" customWidth="1"/>
    <col min="9484" max="9484" width="13.5546875" style="57" customWidth="1"/>
    <col min="9485" max="9485" width="9.88671875" style="57" customWidth="1"/>
    <col min="9486" max="9729" width="10" style="57"/>
    <col min="9730" max="9731" width="9.109375" style="57" bestFit="1" customWidth="1"/>
    <col min="9732" max="9732" width="8.5546875" style="57" bestFit="1" customWidth="1"/>
    <col min="9733" max="9733" width="9.44140625" style="57" bestFit="1" customWidth="1"/>
    <col min="9734" max="9734" width="8.5546875" style="57" bestFit="1" customWidth="1"/>
    <col min="9735" max="9735" width="10" style="57"/>
    <col min="9736" max="9736" width="7.44140625" style="57" bestFit="1" customWidth="1"/>
    <col min="9737" max="9737" width="11.5546875" style="57" customWidth="1"/>
    <col min="9738" max="9739" width="13.5546875" style="57" bestFit="1" customWidth="1"/>
    <col min="9740" max="9740" width="13.5546875" style="57" customWidth="1"/>
    <col min="9741" max="9741" width="9.88671875" style="57" customWidth="1"/>
    <col min="9742" max="9985" width="10" style="57"/>
    <col min="9986" max="9987" width="9.109375" style="57" bestFit="1" customWidth="1"/>
    <col min="9988" max="9988" width="8.5546875" style="57" bestFit="1" customWidth="1"/>
    <col min="9989" max="9989" width="9.44140625" style="57" bestFit="1" customWidth="1"/>
    <col min="9990" max="9990" width="8.5546875" style="57" bestFit="1" customWidth="1"/>
    <col min="9991" max="9991" width="10" style="57"/>
    <col min="9992" max="9992" width="7.44140625" style="57" bestFit="1" customWidth="1"/>
    <col min="9993" max="9993" width="11.5546875" style="57" customWidth="1"/>
    <col min="9994" max="9995" width="13.5546875" style="57" bestFit="1" customWidth="1"/>
    <col min="9996" max="9996" width="13.5546875" style="57" customWidth="1"/>
    <col min="9997" max="9997" width="9.88671875" style="57" customWidth="1"/>
    <col min="9998" max="10241" width="10" style="57"/>
    <col min="10242" max="10243" width="9.109375" style="57" bestFit="1" customWidth="1"/>
    <col min="10244" max="10244" width="8.5546875" style="57" bestFit="1" customWidth="1"/>
    <col min="10245" max="10245" width="9.44140625" style="57" bestFit="1" customWidth="1"/>
    <col min="10246" max="10246" width="8.5546875" style="57" bestFit="1" customWidth="1"/>
    <col min="10247" max="10247" width="10" style="57"/>
    <col min="10248" max="10248" width="7.44140625" style="57" bestFit="1" customWidth="1"/>
    <col min="10249" max="10249" width="11.5546875" style="57" customWidth="1"/>
    <col min="10250" max="10251" width="13.5546875" style="57" bestFit="1" customWidth="1"/>
    <col min="10252" max="10252" width="13.5546875" style="57" customWidth="1"/>
    <col min="10253" max="10253" width="9.88671875" style="57" customWidth="1"/>
    <col min="10254" max="10497" width="10" style="57"/>
    <col min="10498" max="10499" width="9.109375" style="57" bestFit="1" customWidth="1"/>
    <col min="10500" max="10500" width="8.5546875" style="57" bestFit="1" customWidth="1"/>
    <col min="10501" max="10501" width="9.44140625" style="57" bestFit="1" customWidth="1"/>
    <col min="10502" max="10502" width="8.5546875" style="57" bestFit="1" customWidth="1"/>
    <col min="10503" max="10503" width="10" style="57"/>
    <col min="10504" max="10504" width="7.44140625" style="57" bestFit="1" customWidth="1"/>
    <col min="10505" max="10505" width="11.5546875" style="57" customWidth="1"/>
    <col min="10506" max="10507" width="13.5546875" style="57" bestFit="1" customWidth="1"/>
    <col min="10508" max="10508" width="13.5546875" style="57" customWidth="1"/>
    <col min="10509" max="10509" width="9.88671875" style="57" customWidth="1"/>
    <col min="10510" max="10753" width="10" style="57"/>
    <col min="10754" max="10755" width="9.109375" style="57" bestFit="1" customWidth="1"/>
    <col min="10756" max="10756" width="8.5546875" style="57" bestFit="1" customWidth="1"/>
    <col min="10757" max="10757" width="9.44140625" style="57" bestFit="1" customWidth="1"/>
    <col min="10758" max="10758" width="8.5546875" style="57" bestFit="1" customWidth="1"/>
    <col min="10759" max="10759" width="10" style="57"/>
    <col min="10760" max="10760" width="7.44140625" style="57" bestFit="1" customWidth="1"/>
    <col min="10761" max="10761" width="11.5546875" style="57" customWidth="1"/>
    <col min="10762" max="10763" width="13.5546875" style="57" bestFit="1" customWidth="1"/>
    <col min="10764" max="10764" width="13.5546875" style="57" customWidth="1"/>
    <col min="10765" max="10765" width="9.88671875" style="57" customWidth="1"/>
    <col min="10766" max="11009" width="10" style="57"/>
    <col min="11010" max="11011" width="9.109375" style="57" bestFit="1" customWidth="1"/>
    <col min="11012" max="11012" width="8.5546875" style="57" bestFit="1" customWidth="1"/>
    <col min="11013" max="11013" width="9.44140625" style="57" bestFit="1" customWidth="1"/>
    <col min="11014" max="11014" width="8.5546875" style="57" bestFit="1" customWidth="1"/>
    <col min="11015" max="11015" width="10" style="57"/>
    <col min="11016" max="11016" width="7.44140625" style="57" bestFit="1" customWidth="1"/>
    <col min="11017" max="11017" width="11.5546875" style="57" customWidth="1"/>
    <col min="11018" max="11019" width="13.5546875" style="57" bestFit="1" customWidth="1"/>
    <col min="11020" max="11020" width="13.5546875" style="57" customWidth="1"/>
    <col min="11021" max="11021" width="9.88671875" style="57" customWidth="1"/>
    <col min="11022" max="11265" width="10" style="57"/>
    <col min="11266" max="11267" width="9.109375" style="57" bestFit="1" customWidth="1"/>
    <col min="11268" max="11268" width="8.5546875" style="57" bestFit="1" customWidth="1"/>
    <col min="11269" max="11269" width="9.44140625" style="57" bestFit="1" customWidth="1"/>
    <col min="11270" max="11270" width="8.5546875" style="57" bestFit="1" customWidth="1"/>
    <col min="11271" max="11271" width="10" style="57"/>
    <col min="11272" max="11272" width="7.44140625" style="57" bestFit="1" customWidth="1"/>
    <col min="11273" max="11273" width="11.5546875" style="57" customWidth="1"/>
    <col min="11274" max="11275" width="13.5546875" style="57" bestFit="1" customWidth="1"/>
    <col min="11276" max="11276" width="13.5546875" style="57" customWidth="1"/>
    <col min="11277" max="11277" width="9.88671875" style="57" customWidth="1"/>
    <col min="11278" max="11521" width="10" style="57"/>
    <col min="11522" max="11523" width="9.109375" style="57" bestFit="1" customWidth="1"/>
    <col min="11524" max="11524" width="8.5546875" style="57" bestFit="1" customWidth="1"/>
    <col min="11525" max="11525" width="9.44140625" style="57" bestFit="1" customWidth="1"/>
    <col min="11526" max="11526" width="8.5546875" style="57" bestFit="1" customWidth="1"/>
    <col min="11527" max="11527" width="10" style="57"/>
    <col min="11528" max="11528" width="7.44140625" style="57" bestFit="1" customWidth="1"/>
    <col min="11529" max="11529" width="11.5546875" style="57" customWidth="1"/>
    <col min="11530" max="11531" width="13.5546875" style="57" bestFit="1" customWidth="1"/>
    <col min="11532" max="11532" width="13.5546875" style="57" customWidth="1"/>
    <col min="11533" max="11533" width="9.88671875" style="57" customWidth="1"/>
    <col min="11534" max="11777" width="10" style="57"/>
    <col min="11778" max="11779" width="9.109375" style="57" bestFit="1" customWidth="1"/>
    <col min="11780" max="11780" width="8.5546875" style="57" bestFit="1" customWidth="1"/>
    <col min="11781" max="11781" width="9.44140625" style="57" bestFit="1" customWidth="1"/>
    <col min="11782" max="11782" width="8.5546875" style="57" bestFit="1" customWidth="1"/>
    <col min="11783" max="11783" width="10" style="57"/>
    <col min="11784" max="11784" width="7.44140625" style="57" bestFit="1" customWidth="1"/>
    <col min="11785" max="11785" width="11.5546875" style="57" customWidth="1"/>
    <col min="11786" max="11787" width="13.5546875" style="57" bestFit="1" customWidth="1"/>
    <col min="11788" max="11788" width="13.5546875" style="57" customWidth="1"/>
    <col min="11789" max="11789" width="9.88671875" style="57" customWidth="1"/>
    <col min="11790" max="12033" width="10" style="57"/>
    <col min="12034" max="12035" width="9.109375" style="57" bestFit="1" customWidth="1"/>
    <col min="12036" max="12036" width="8.5546875" style="57" bestFit="1" customWidth="1"/>
    <col min="12037" max="12037" width="9.44140625" style="57" bestFit="1" customWidth="1"/>
    <col min="12038" max="12038" width="8.5546875" style="57" bestFit="1" customWidth="1"/>
    <col min="12039" max="12039" width="10" style="57"/>
    <col min="12040" max="12040" width="7.44140625" style="57" bestFit="1" customWidth="1"/>
    <col min="12041" max="12041" width="11.5546875" style="57" customWidth="1"/>
    <col min="12042" max="12043" width="13.5546875" style="57" bestFit="1" customWidth="1"/>
    <col min="12044" max="12044" width="13.5546875" style="57" customWidth="1"/>
    <col min="12045" max="12045" width="9.88671875" style="57" customWidth="1"/>
    <col min="12046" max="12289" width="10" style="57"/>
    <col min="12290" max="12291" width="9.109375" style="57" bestFit="1" customWidth="1"/>
    <col min="12292" max="12292" width="8.5546875" style="57" bestFit="1" customWidth="1"/>
    <col min="12293" max="12293" width="9.44140625" style="57" bestFit="1" customWidth="1"/>
    <col min="12294" max="12294" width="8.5546875" style="57" bestFit="1" customWidth="1"/>
    <col min="12295" max="12295" width="10" style="57"/>
    <col min="12296" max="12296" width="7.44140625" style="57" bestFit="1" customWidth="1"/>
    <col min="12297" max="12297" width="11.5546875" style="57" customWidth="1"/>
    <col min="12298" max="12299" width="13.5546875" style="57" bestFit="1" customWidth="1"/>
    <col min="12300" max="12300" width="13.5546875" style="57" customWidth="1"/>
    <col min="12301" max="12301" width="9.88671875" style="57" customWidth="1"/>
    <col min="12302" max="12545" width="10" style="57"/>
    <col min="12546" max="12547" width="9.109375" style="57" bestFit="1" customWidth="1"/>
    <col min="12548" max="12548" width="8.5546875" style="57" bestFit="1" customWidth="1"/>
    <col min="12549" max="12549" width="9.44140625" style="57" bestFit="1" customWidth="1"/>
    <col min="12550" max="12550" width="8.5546875" style="57" bestFit="1" customWidth="1"/>
    <col min="12551" max="12551" width="10" style="57"/>
    <col min="12552" max="12552" width="7.44140625" style="57" bestFit="1" customWidth="1"/>
    <col min="12553" max="12553" width="11.5546875" style="57" customWidth="1"/>
    <col min="12554" max="12555" width="13.5546875" style="57" bestFit="1" customWidth="1"/>
    <col min="12556" max="12556" width="13.5546875" style="57" customWidth="1"/>
    <col min="12557" max="12557" width="9.88671875" style="57" customWidth="1"/>
    <col min="12558" max="12801" width="10" style="57"/>
    <col min="12802" max="12803" width="9.109375" style="57" bestFit="1" customWidth="1"/>
    <col min="12804" max="12804" width="8.5546875" style="57" bestFit="1" customWidth="1"/>
    <col min="12805" max="12805" width="9.44140625" style="57" bestFit="1" customWidth="1"/>
    <col min="12806" max="12806" width="8.5546875" style="57" bestFit="1" customWidth="1"/>
    <col min="12807" max="12807" width="10" style="57"/>
    <col min="12808" max="12808" width="7.44140625" style="57" bestFit="1" customWidth="1"/>
    <col min="12809" max="12809" width="11.5546875" style="57" customWidth="1"/>
    <col min="12810" max="12811" width="13.5546875" style="57" bestFit="1" customWidth="1"/>
    <col min="12812" max="12812" width="13.5546875" style="57" customWidth="1"/>
    <col min="12813" max="12813" width="9.88671875" style="57" customWidth="1"/>
    <col min="12814" max="13057" width="10" style="57"/>
    <col min="13058" max="13059" width="9.109375" style="57" bestFit="1" customWidth="1"/>
    <col min="13060" max="13060" width="8.5546875" style="57" bestFit="1" customWidth="1"/>
    <col min="13061" max="13061" width="9.44140625" style="57" bestFit="1" customWidth="1"/>
    <col min="13062" max="13062" width="8.5546875" style="57" bestFit="1" customWidth="1"/>
    <col min="13063" max="13063" width="10" style="57"/>
    <col min="13064" max="13064" width="7.44140625" style="57" bestFit="1" customWidth="1"/>
    <col min="13065" max="13065" width="11.5546875" style="57" customWidth="1"/>
    <col min="13066" max="13067" width="13.5546875" style="57" bestFit="1" customWidth="1"/>
    <col min="13068" max="13068" width="13.5546875" style="57" customWidth="1"/>
    <col min="13069" max="13069" width="9.88671875" style="57" customWidth="1"/>
    <col min="13070" max="13313" width="10" style="57"/>
    <col min="13314" max="13315" width="9.109375" style="57" bestFit="1" customWidth="1"/>
    <col min="13316" max="13316" width="8.5546875" style="57" bestFit="1" customWidth="1"/>
    <col min="13317" max="13317" width="9.44140625" style="57" bestFit="1" customWidth="1"/>
    <col min="13318" max="13318" width="8.5546875" style="57" bestFit="1" customWidth="1"/>
    <col min="13319" max="13319" width="10" style="57"/>
    <col min="13320" max="13320" width="7.44140625" style="57" bestFit="1" customWidth="1"/>
    <col min="13321" max="13321" width="11.5546875" style="57" customWidth="1"/>
    <col min="13322" max="13323" width="13.5546875" style="57" bestFit="1" customWidth="1"/>
    <col min="13324" max="13324" width="13.5546875" style="57" customWidth="1"/>
    <col min="13325" max="13325" width="9.88671875" style="57" customWidth="1"/>
    <col min="13326" max="13569" width="10" style="57"/>
    <col min="13570" max="13571" width="9.109375" style="57" bestFit="1" customWidth="1"/>
    <col min="13572" max="13572" width="8.5546875" style="57" bestFit="1" customWidth="1"/>
    <col min="13573" max="13573" width="9.44140625" style="57" bestFit="1" customWidth="1"/>
    <col min="13574" max="13574" width="8.5546875" style="57" bestFit="1" customWidth="1"/>
    <col min="13575" max="13575" width="10" style="57"/>
    <col min="13576" max="13576" width="7.44140625" style="57" bestFit="1" customWidth="1"/>
    <col min="13577" max="13577" width="11.5546875" style="57" customWidth="1"/>
    <col min="13578" max="13579" width="13.5546875" style="57" bestFit="1" customWidth="1"/>
    <col min="13580" max="13580" width="13.5546875" style="57" customWidth="1"/>
    <col min="13581" max="13581" width="9.88671875" style="57" customWidth="1"/>
    <col min="13582" max="13825" width="10" style="57"/>
    <col min="13826" max="13827" width="9.109375" style="57" bestFit="1" customWidth="1"/>
    <col min="13828" max="13828" width="8.5546875" style="57" bestFit="1" customWidth="1"/>
    <col min="13829" max="13829" width="9.44140625" style="57" bestFit="1" customWidth="1"/>
    <col min="13830" max="13830" width="8.5546875" style="57" bestFit="1" customWidth="1"/>
    <col min="13831" max="13831" width="10" style="57"/>
    <col min="13832" max="13832" width="7.44140625" style="57" bestFit="1" customWidth="1"/>
    <col min="13833" max="13833" width="11.5546875" style="57" customWidth="1"/>
    <col min="13834" max="13835" width="13.5546875" style="57" bestFit="1" customWidth="1"/>
    <col min="13836" max="13836" width="13.5546875" style="57" customWidth="1"/>
    <col min="13837" max="13837" width="9.88671875" style="57" customWidth="1"/>
    <col min="13838" max="14081" width="10" style="57"/>
    <col min="14082" max="14083" width="9.109375" style="57" bestFit="1" customWidth="1"/>
    <col min="14084" max="14084" width="8.5546875" style="57" bestFit="1" customWidth="1"/>
    <col min="14085" max="14085" width="9.44140625" style="57" bestFit="1" customWidth="1"/>
    <col min="14086" max="14086" width="8.5546875" style="57" bestFit="1" customWidth="1"/>
    <col min="14087" max="14087" width="10" style="57"/>
    <col min="14088" max="14088" width="7.44140625" style="57" bestFit="1" customWidth="1"/>
    <col min="14089" max="14089" width="11.5546875" style="57" customWidth="1"/>
    <col min="14090" max="14091" width="13.5546875" style="57" bestFit="1" customWidth="1"/>
    <col min="14092" max="14092" width="13.5546875" style="57" customWidth="1"/>
    <col min="14093" max="14093" width="9.88671875" style="57" customWidth="1"/>
    <col min="14094" max="14337" width="10" style="57"/>
    <col min="14338" max="14339" width="9.109375" style="57" bestFit="1" customWidth="1"/>
    <col min="14340" max="14340" width="8.5546875" style="57" bestFit="1" customWidth="1"/>
    <col min="14341" max="14341" width="9.44140625" style="57" bestFit="1" customWidth="1"/>
    <col min="14342" max="14342" width="8.5546875" style="57" bestFit="1" customWidth="1"/>
    <col min="14343" max="14343" width="10" style="57"/>
    <col min="14344" max="14344" width="7.44140625" style="57" bestFit="1" customWidth="1"/>
    <col min="14345" max="14345" width="11.5546875" style="57" customWidth="1"/>
    <col min="14346" max="14347" width="13.5546875" style="57" bestFit="1" customWidth="1"/>
    <col min="14348" max="14348" width="13.5546875" style="57" customWidth="1"/>
    <col min="14349" max="14349" width="9.88671875" style="57" customWidth="1"/>
    <col min="14350" max="14593" width="10" style="57"/>
    <col min="14594" max="14595" width="9.109375" style="57" bestFit="1" customWidth="1"/>
    <col min="14596" max="14596" width="8.5546875" style="57" bestFit="1" customWidth="1"/>
    <col min="14597" max="14597" width="9.44140625" style="57" bestFit="1" customWidth="1"/>
    <col min="14598" max="14598" width="8.5546875" style="57" bestFit="1" customWidth="1"/>
    <col min="14599" max="14599" width="10" style="57"/>
    <col min="14600" max="14600" width="7.44140625" style="57" bestFit="1" customWidth="1"/>
    <col min="14601" max="14601" width="11.5546875" style="57" customWidth="1"/>
    <col min="14602" max="14603" width="13.5546875" style="57" bestFit="1" customWidth="1"/>
    <col min="14604" max="14604" width="13.5546875" style="57" customWidth="1"/>
    <col min="14605" max="14605" width="9.88671875" style="57" customWidth="1"/>
    <col min="14606" max="14849" width="10" style="57"/>
    <col min="14850" max="14851" width="9.109375" style="57" bestFit="1" customWidth="1"/>
    <col min="14852" max="14852" width="8.5546875" style="57" bestFit="1" customWidth="1"/>
    <col min="14853" max="14853" width="9.44140625" style="57" bestFit="1" customWidth="1"/>
    <col min="14854" max="14854" width="8.5546875" style="57" bestFit="1" customWidth="1"/>
    <col min="14855" max="14855" width="10" style="57"/>
    <col min="14856" max="14856" width="7.44140625" style="57" bestFit="1" customWidth="1"/>
    <col min="14857" max="14857" width="11.5546875" style="57" customWidth="1"/>
    <col min="14858" max="14859" width="13.5546875" style="57" bestFit="1" customWidth="1"/>
    <col min="14860" max="14860" width="13.5546875" style="57" customWidth="1"/>
    <col min="14861" max="14861" width="9.88671875" style="57" customWidth="1"/>
    <col min="14862" max="15105" width="10" style="57"/>
    <col min="15106" max="15107" width="9.109375" style="57" bestFit="1" customWidth="1"/>
    <col min="15108" max="15108" width="8.5546875" style="57" bestFit="1" customWidth="1"/>
    <col min="15109" max="15109" width="9.44140625" style="57" bestFit="1" customWidth="1"/>
    <col min="15110" max="15110" width="8.5546875" style="57" bestFit="1" customWidth="1"/>
    <col min="15111" max="15111" width="10" style="57"/>
    <col min="15112" max="15112" width="7.44140625" style="57" bestFit="1" customWidth="1"/>
    <col min="15113" max="15113" width="11.5546875" style="57" customWidth="1"/>
    <col min="15114" max="15115" width="13.5546875" style="57" bestFit="1" customWidth="1"/>
    <col min="15116" max="15116" width="13.5546875" style="57" customWidth="1"/>
    <col min="15117" max="15117" width="9.88671875" style="57" customWidth="1"/>
    <col min="15118" max="15361" width="10" style="57"/>
    <col min="15362" max="15363" width="9.109375" style="57" bestFit="1" customWidth="1"/>
    <col min="15364" max="15364" width="8.5546875" style="57" bestFit="1" customWidth="1"/>
    <col min="15365" max="15365" width="9.44140625" style="57" bestFit="1" customWidth="1"/>
    <col min="15366" max="15366" width="8.5546875" style="57" bestFit="1" customWidth="1"/>
    <col min="15367" max="15367" width="10" style="57"/>
    <col min="15368" max="15368" width="7.44140625" style="57" bestFit="1" customWidth="1"/>
    <col min="15369" max="15369" width="11.5546875" style="57" customWidth="1"/>
    <col min="15370" max="15371" width="13.5546875" style="57" bestFit="1" customWidth="1"/>
    <col min="15372" max="15372" width="13.5546875" style="57" customWidth="1"/>
    <col min="15373" max="15373" width="9.88671875" style="57" customWidth="1"/>
    <col min="15374" max="15617" width="10" style="57"/>
    <col min="15618" max="15619" width="9.109375" style="57" bestFit="1" customWidth="1"/>
    <col min="15620" max="15620" width="8.5546875" style="57" bestFit="1" customWidth="1"/>
    <col min="15621" max="15621" width="9.44140625" style="57" bestFit="1" customWidth="1"/>
    <col min="15622" max="15622" width="8.5546875" style="57" bestFit="1" customWidth="1"/>
    <col min="15623" max="15623" width="10" style="57"/>
    <col min="15624" max="15624" width="7.44140625" style="57" bestFit="1" customWidth="1"/>
    <col min="15625" max="15625" width="11.5546875" style="57" customWidth="1"/>
    <col min="15626" max="15627" width="13.5546875" style="57" bestFit="1" customWidth="1"/>
    <col min="15628" max="15628" width="13.5546875" style="57" customWidth="1"/>
    <col min="15629" max="15629" width="9.88671875" style="57" customWidth="1"/>
    <col min="15630" max="15873" width="10" style="57"/>
    <col min="15874" max="15875" width="9.109375" style="57" bestFit="1" customWidth="1"/>
    <col min="15876" max="15876" width="8.5546875" style="57" bestFit="1" customWidth="1"/>
    <col min="15877" max="15877" width="9.44140625" style="57" bestFit="1" customWidth="1"/>
    <col min="15878" max="15878" width="8.5546875" style="57" bestFit="1" customWidth="1"/>
    <col min="15879" max="15879" width="10" style="57"/>
    <col min="15880" max="15880" width="7.44140625" style="57" bestFit="1" customWidth="1"/>
    <col min="15881" max="15881" width="11.5546875" style="57" customWidth="1"/>
    <col min="15882" max="15883" width="13.5546875" style="57" bestFit="1" customWidth="1"/>
    <col min="15884" max="15884" width="13.5546875" style="57" customWidth="1"/>
    <col min="15885" max="15885" width="9.88671875" style="57" customWidth="1"/>
    <col min="15886" max="16129" width="10" style="57"/>
    <col min="16130" max="16131" width="9.109375" style="57" bestFit="1" customWidth="1"/>
    <col min="16132" max="16132" width="8.5546875" style="57" bestFit="1" customWidth="1"/>
    <col min="16133" max="16133" width="9.44140625" style="57" bestFit="1" customWidth="1"/>
    <col min="16134" max="16134" width="8.5546875" style="57" bestFit="1" customWidth="1"/>
    <col min="16135" max="16135" width="10" style="57"/>
    <col min="16136" max="16136" width="7.44140625" style="57" bestFit="1" customWidth="1"/>
    <col min="16137" max="16137" width="11.5546875" style="57" customWidth="1"/>
    <col min="16138" max="16139" width="13.5546875" style="57" bestFit="1" customWidth="1"/>
    <col min="16140" max="16140" width="13.5546875" style="57" customWidth="1"/>
    <col min="16141" max="16141" width="9.88671875" style="57" customWidth="1"/>
    <col min="16142" max="16384" width="10" style="57"/>
  </cols>
  <sheetData>
    <row r="1" spans="1:18" s="43" customFormat="1" ht="15" customHeight="1" x14ac:dyDescent="0.25">
      <c r="A1" s="39" t="s">
        <v>124</v>
      </c>
      <c r="B1" s="39" t="s">
        <v>125</v>
      </c>
      <c r="C1" s="39" t="s">
        <v>44</v>
      </c>
      <c r="D1" s="39" t="s">
        <v>42</v>
      </c>
      <c r="E1" s="40" t="s">
        <v>43</v>
      </c>
      <c r="F1" s="41" t="s">
        <v>46</v>
      </c>
      <c r="G1" s="42" t="s">
        <v>45</v>
      </c>
      <c r="H1" s="42" t="s">
        <v>126</v>
      </c>
      <c r="I1" s="42" t="s">
        <v>127</v>
      </c>
      <c r="J1" s="42" t="s">
        <v>128</v>
      </c>
      <c r="K1" s="42" t="s">
        <v>129</v>
      </c>
      <c r="L1" s="40" t="s">
        <v>104</v>
      </c>
      <c r="M1" s="40" t="s">
        <v>138</v>
      </c>
      <c r="O1" s="40" t="s">
        <v>148</v>
      </c>
      <c r="P1" s="39" t="s">
        <v>149</v>
      </c>
      <c r="Q1" s="39" t="s">
        <v>151</v>
      </c>
      <c r="R1" s="39" t="s">
        <v>150</v>
      </c>
    </row>
    <row r="2" spans="1:18" s="43" customFormat="1" ht="15" customHeight="1" x14ac:dyDescent="0.25">
      <c r="A2" s="44">
        <v>2024</v>
      </c>
      <c r="B2" s="67">
        <v>630981</v>
      </c>
      <c r="C2" s="67">
        <f>B2-O3</f>
        <v>532678.16781744966</v>
      </c>
      <c r="D2" s="67">
        <f>D3+C2</f>
        <v>5113064.1237496529</v>
      </c>
      <c r="E2" s="67">
        <f>E3+C2</f>
        <v>3337444.1237496533</v>
      </c>
      <c r="F2" s="68">
        <f t="shared" ref="F2:F13" si="0">C2/E2</f>
        <v>0.1596066175391066</v>
      </c>
      <c r="G2" s="68">
        <f t="shared" ref="G2:G13" si="1">1-E2/D2</f>
        <v>0.34727121683305884</v>
      </c>
      <c r="H2" s="69">
        <f t="shared" ref="H2:K9" si="2">(B2-B3)/B3</f>
        <v>-1.5848312630154267E-6</v>
      </c>
      <c r="I2" s="68">
        <f t="shared" si="2"/>
        <v>-1.8773026249502257E-6</v>
      </c>
      <c r="J2" s="68">
        <f t="shared" si="2"/>
        <v>0.11629547661317945</v>
      </c>
      <c r="K2" s="68">
        <f t="shared" si="2"/>
        <v>0.18991893661958206</v>
      </c>
      <c r="L2" s="70">
        <f t="shared" ref="L2:L13" si="3">C2*10</f>
        <v>5326781.6781744966</v>
      </c>
      <c r="M2" s="40"/>
      <c r="O2" s="40"/>
      <c r="P2" s="39"/>
      <c r="Q2" s="39"/>
      <c r="R2" s="39"/>
    </row>
    <row r="3" spans="1:18" s="48" customFormat="1" ht="15" customHeight="1" x14ac:dyDescent="0.25">
      <c r="A3" s="44">
        <v>2023</v>
      </c>
      <c r="B3" s="45">
        <v>630982</v>
      </c>
      <c r="C3" s="45">
        <v>532679.16781744966</v>
      </c>
      <c r="D3" s="45">
        <v>4580385.9559322037</v>
      </c>
      <c r="E3" s="45">
        <v>2804765.9559322037</v>
      </c>
      <c r="F3" s="46">
        <f t="shared" si="0"/>
        <v>0.18991929315556963</v>
      </c>
      <c r="G3" s="46">
        <f t="shared" si="1"/>
        <v>0.38765728850869829</v>
      </c>
      <c r="H3" s="66">
        <f t="shared" si="2"/>
        <v>0.13064217290180155</v>
      </c>
      <c r="I3" s="46">
        <f t="shared" si="2"/>
        <v>0.29676135322193065</v>
      </c>
      <c r="J3" s="46">
        <f t="shared" si="2"/>
        <v>0.12585684519968643</v>
      </c>
      <c r="K3" s="46">
        <f t="shared" si="2"/>
        <v>0.24012964814935533</v>
      </c>
      <c r="L3" s="47">
        <f t="shared" si="3"/>
        <v>5326791.6781744966</v>
      </c>
      <c r="M3" s="45"/>
      <c r="N3" s="45"/>
      <c r="O3" s="50">
        <f t="shared" ref="O3:O8" si="4">B3-C3</f>
        <v>98302.832182550337</v>
      </c>
      <c r="P3" s="46">
        <f>E3/(O3*2/0.04)</f>
        <v>0.57063787353017392</v>
      </c>
      <c r="Q3" s="50">
        <v>65440</v>
      </c>
      <c r="R3" s="46">
        <f t="shared" ref="R3:R8" si="5">Q3/(O3*2)</f>
        <v>0.33284900621416791</v>
      </c>
    </row>
    <row r="4" spans="1:18" s="48" customFormat="1" ht="15" customHeight="1" x14ac:dyDescent="0.25">
      <c r="A4" s="44">
        <v>2022</v>
      </c>
      <c r="B4" s="45">
        <v>558074</v>
      </c>
      <c r="C4" s="45">
        <v>410776.56000000006</v>
      </c>
      <c r="D4" s="45">
        <v>4068355.56</v>
      </c>
      <c r="E4" s="45">
        <v>2261671.56</v>
      </c>
      <c r="F4" s="46">
        <f t="shared" si="0"/>
        <v>0.18162520467826021</v>
      </c>
      <c r="G4" s="46">
        <f t="shared" si="1"/>
        <v>0.44408212934073044</v>
      </c>
      <c r="H4" s="66">
        <f t="shared" si="2"/>
        <v>0.1427418892465456</v>
      </c>
      <c r="I4" s="46">
        <f t="shared" si="2"/>
        <v>0.22763153411892703</v>
      </c>
      <c r="J4" s="46">
        <f t="shared" si="2"/>
        <v>0.10259663748257018</v>
      </c>
      <c r="K4" s="46">
        <f t="shared" si="2"/>
        <v>0.22193401570591528</v>
      </c>
      <c r="L4" s="47">
        <f t="shared" si="3"/>
        <v>4107765.6000000006</v>
      </c>
      <c r="M4" s="45">
        <f t="shared" ref="M4:M11" si="6">E4-E5</f>
        <v>410776.56000000006</v>
      </c>
      <c r="N4" s="45"/>
      <c r="O4" s="50">
        <f t="shared" si="4"/>
        <v>147297.43999999994</v>
      </c>
      <c r="P4" s="46">
        <f>E4/(O4*2/0.04)</f>
        <v>0.30708905192106539</v>
      </c>
      <c r="Q4" s="50">
        <v>70706</v>
      </c>
      <c r="R4" s="46">
        <f t="shared" si="5"/>
        <v>0.24001096013617082</v>
      </c>
    </row>
    <row r="5" spans="1:18" s="43" customFormat="1" ht="15" customHeight="1" x14ac:dyDescent="0.25">
      <c r="A5" s="49">
        <v>2021</v>
      </c>
      <c r="B5" s="50">
        <v>488364</v>
      </c>
      <c r="C5" s="50">
        <v>334609</v>
      </c>
      <c r="D5" s="50">
        <v>3689795</v>
      </c>
      <c r="E5" s="50">
        <v>1850895</v>
      </c>
      <c r="F5" s="51">
        <f t="shared" si="0"/>
        <v>0.18078227019901183</v>
      </c>
      <c r="G5" s="51">
        <f t="shared" si="1"/>
        <v>0.49837457094499826</v>
      </c>
      <c r="H5" s="63">
        <f t="shared" si="2"/>
        <v>0.16245037084995573</v>
      </c>
      <c r="I5" s="51">
        <f t="shared" si="2"/>
        <v>0.25860519000816229</v>
      </c>
      <c r="J5" s="51">
        <f t="shared" si="2"/>
        <v>9.1209156492818619E-2</v>
      </c>
      <c r="K5" s="51">
        <f t="shared" si="2"/>
        <v>0.22067670610953344</v>
      </c>
      <c r="L5" s="53">
        <f t="shared" si="3"/>
        <v>3346090</v>
      </c>
      <c r="M5" s="50">
        <f t="shared" si="6"/>
        <v>334609</v>
      </c>
      <c r="N5" s="50"/>
      <c r="O5" s="50">
        <f t="shared" si="4"/>
        <v>153755</v>
      </c>
      <c r="P5" s="46">
        <f t="shared" ref="P5:P21" si="7">E5/(O5*2/0.04)</f>
        <v>0.24075899970732659</v>
      </c>
      <c r="Q5" s="50">
        <v>49958</v>
      </c>
      <c r="R5" s="46">
        <f t="shared" si="5"/>
        <v>0.1624597574062632</v>
      </c>
    </row>
    <row r="6" spans="1:18" s="43" customFormat="1" ht="15" customHeight="1" x14ac:dyDescent="0.25">
      <c r="A6" s="49">
        <v>2020</v>
      </c>
      <c r="B6" s="50">
        <v>420116</v>
      </c>
      <c r="C6" s="50">
        <v>265857</v>
      </c>
      <c r="D6" s="50">
        <v>3381382</v>
      </c>
      <c r="E6" s="50">
        <v>1516286</v>
      </c>
      <c r="F6" s="51">
        <f t="shared" si="0"/>
        <v>0.1753343366620809</v>
      </c>
      <c r="G6" s="51">
        <f t="shared" si="1"/>
        <v>0.55157802342355877</v>
      </c>
      <c r="H6" s="51">
        <f t="shared" si="2"/>
        <v>0.52662313358261292</v>
      </c>
      <c r="I6" s="51">
        <f t="shared" si="2"/>
        <v>2.3054868268907982</v>
      </c>
      <c r="J6" s="51">
        <f t="shared" si="2"/>
        <v>7.5155054756443365E-2</v>
      </c>
      <c r="K6" s="51">
        <f t="shared" si="2"/>
        <v>0.21261263134492242</v>
      </c>
      <c r="L6" s="53">
        <f t="shared" si="3"/>
        <v>2658570</v>
      </c>
      <c r="M6" s="50">
        <f t="shared" si="6"/>
        <v>265857</v>
      </c>
      <c r="N6" s="50"/>
      <c r="O6" s="50">
        <f t="shared" si="4"/>
        <v>154259</v>
      </c>
      <c r="P6" s="46">
        <f t="shared" si="7"/>
        <v>0.1965896317232706</v>
      </c>
      <c r="Q6" s="50">
        <v>48208</v>
      </c>
      <c r="R6" s="46">
        <f t="shared" si="5"/>
        <v>0.15625668518530522</v>
      </c>
    </row>
    <row r="7" spans="1:18" s="43" customFormat="1" ht="15" customHeight="1" x14ac:dyDescent="0.25">
      <c r="A7" s="49">
        <v>2019</v>
      </c>
      <c r="B7" s="50">
        <v>275193</v>
      </c>
      <c r="C7" s="50">
        <v>80429</v>
      </c>
      <c r="D7" s="50">
        <v>3145018</v>
      </c>
      <c r="E7" s="50">
        <v>1250429</v>
      </c>
      <c r="F7" s="63">
        <f t="shared" si="0"/>
        <v>6.4321124989903472E-2</v>
      </c>
      <c r="G7" s="51">
        <f t="shared" si="1"/>
        <v>0.60240958875275119</v>
      </c>
      <c r="H7" s="63">
        <f t="shared" si="2"/>
        <v>-0.34023878593176859</v>
      </c>
      <c r="I7" s="63">
        <f t="shared" si="2"/>
        <v>-0.55317222222222218</v>
      </c>
      <c r="J7" s="51">
        <f t="shared" si="2"/>
        <v>1.1259807073954985E-2</v>
      </c>
      <c r="K7" s="51">
        <f t="shared" si="2"/>
        <v>6.8742735042735037E-2</v>
      </c>
      <c r="L7" s="53">
        <f t="shared" si="3"/>
        <v>804290</v>
      </c>
      <c r="M7" s="50">
        <f t="shared" si="6"/>
        <v>80429</v>
      </c>
      <c r="N7" s="50"/>
      <c r="O7" s="50">
        <f t="shared" si="4"/>
        <v>194764</v>
      </c>
      <c r="P7" s="46">
        <f t="shared" si="7"/>
        <v>0.12840453061140664</v>
      </c>
      <c r="Q7" s="50">
        <v>28513</v>
      </c>
      <c r="R7" s="46">
        <f t="shared" si="5"/>
        <v>7.3198845782588159E-2</v>
      </c>
    </row>
    <row r="8" spans="1:18" s="43" customFormat="1" ht="15" customHeight="1" x14ac:dyDescent="0.25">
      <c r="A8" s="49">
        <v>2018</v>
      </c>
      <c r="B8" s="50">
        <v>417110</v>
      </c>
      <c r="C8" s="50">
        <v>180000</v>
      </c>
      <c r="D8" s="50">
        <v>3110000</v>
      </c>
      <c r="E8" s="50">
        <v>1170000</v>
      </c>
      <c r="F8" s="51">
        <f t="shared" si="0"/>
        <v>0.15384615384615385</v>
      </c>
      <c r="G8" s="51">
        <f t="shared" si="1"/>
        <v>0.6237942122186495</v>
      </c>
      <c r="H8" s="51">
        <f t="shared" si="2"/>
        <v>-0.11253191489361702</v>
      </c>
      <c r="I8" s="51">
        <f t="shared" si="2"/>
        <v>-0.54792384023628515</v>
      </c>
      <c r="J8" s="51">
        <f t="shared" si="2"/>
        <v>0.43028356406428642</v>
      </c>
      <c r="K8" s="51">
        <f t="shared" si="2"/>
        <v>0.17642918549875067</v>
      </c>
      <c r="L8" s="53">
        <f t="shared" si="3"/>
        <v>1800000</v>
      </c>
      <c r="M8" s="50">
        <f t="shared" si="6"/>
        <v>175465</v>
      </c>
      <c r="N8" s="50"/>
      <c r="O8" s="50">
        <f t="shared" si="4"/>
        <v>237110</v>
      </c>
      <c r="P8" s="46">
        <f t="shared" si="7"/>
        <v>9.8688372485344358E-2</v>
      </c>
      <c r="Q8" s="50">
        <v>53000</v>
      </c>
      <c r="R8" s="46">
        <f t="shared" si="5"/>
        <v>0.11176247311374468</v>
      </c>
    </row>
    <row r="9" spans="1:18" s="43" customFormat="1" ht="15" customHeight="1" x14ac:dyDescent="0.25">
      <c r="A9" s="49">
        <v>2017</v>
      </c>
      <c r="B9" s="50">
        <v>470000</v>
      </c>
      <c r="C9" s="50">
        <v>398163</v>
      </c>
      <c r="D9" s="50">
        <v>2174394</v>
      </c>
      <c r="E9" s="50">
        <v>994535</v>
      </c>
      <c r="F9" s="51">
        <f t="shared" si="0"/>
        <v>0.40035091776558895</v>
      </c>
      <c r="G9" s="51">
        <f t="shared" si="1"/>
        <v>0.54261509183708201</v>
      </c>
      <c r="H9" s="51">
        <f t="shared" si="2"/>
        <v>0.83633698179694638</v>
      </c>
      <c r="I9" s="51">
        <f t="shared" si="2"/>
        <v>1.0695992731387918</v>
      </c>
      <c r="J9" s="51">
        <f t="shared" si="2"/>
        <v>0.91369103067378166</v>
      </c>
      <c r="K9" s="51">
        <f t="shared" si="2"/>
        <v>0.66764357725489931</v>
      </c>
      <c r="L9" s="53">
        <f t="shared" si="3"/>
        <v>3981630</v>
      </c>
      <c r="M9" s="50">
        <f t="shared" si="6"/>
        <v>398163.56094400003</v>
      </c>
      <c r="N9" s="50"/>
      <c r="O9" s="50">
        <f>B9-C9</f>
        <v>71837</v>
      </c>
      <c r="P9" s="46">
        <f t="shared" si="7"/>
        <v>0.27688656263485389</v>
      </c>
      <c r="Q9" s="50"/>
    </row>
    <row r="10" spans="1:18" s="43" customFormat="1" ht="15" customHeight="1" x14ac:dyDescent="0.25">
      <c r="A10" s="49">
        <v>2016</v>
      </c>
      <c r="B10" s="50">
        <f>'[1]2016年度'!$B$16</f>
        <v>255944.30905600006</v>
      </c>
      <c r="C10" s="50">
        <f>'[1]2016年度'!$B$15</f>
        <v>192386.51905600005</v>
      </c>
      <c r="D10" s="50">
        <f>'[2]2016年度'!B14</f>
        <v>1136230.439056</v>
      </c>
      <c r="E10" s="50">
        <f>'[2]2016年度'!B15</f>
        <v>596371.43905599997</v>
      </c>
      <c r="F10" s="51">
        <f t="shared" si="0"/>
        <v>0.32259512521345735</v>
      </c>
      <c r="G10" s="51">
        <f t="shared" si="1"/>
        <v>0.47513161190130082</v>
      </c>
      <c r="H10" s="51">
        <f t="shared" ref="H10:K20" si="8">(B10-B11)/B11</f>
        <v>0.46269771607203097</v>
      </c>
      <c r="I10" s="51">
        <f t="shared" si="8"/>
        <v>1.0055931097836857</v>
      </c>
      <c r="J10" s="51">
        <f t="shared" si="8"/>
        <v>0.41296901064177677</v>
      </c>
      <c r="K10" s="51">
        <f t="shared" si="8"/>
        <v>0.47622203090154969</v>
      </c>
      <c r="L10" s="53">
        <f t="shared" si="3"/>
        <v>1923865.1905600005</v>
      </c>
      <c r="M10" s="50">
        <f t="shared" si="6"/>
        <v>192386.51905600005</v>
      </c>
      <c r="N10" s="50">
        <f>M10-C10</f>
        <v>0</v>
      </c>
      <c r="O10" s="50">
        <f t="shared" ref="O10:O21" si="9">B10-C10</f>
        <v>63557.790000000008</v>
      </c>
      <c r="P10" s="46">
        <f t="shared" si="7"/>
        <v>0.18766273624554911</v>
      </c>
      <c r="Q10" s="50"/>
    </row>
    <row r="11" spans="1:18" s="43" customFormat="1" ht="15" customHeight="1" x14ac:dyDescent="0.25">
      <c r="A11" s="49">
        <v>2015</v>
      </c>
      <c r="B11" s="50">
        <f>'[1]2015年度'!$B$10</f>
        <v>174981</v>
      </c>
      <c r="C11" s="50">
        <f>'[1]2015年度'!$B$11</f>
        <v>95925</v>
      </c>
      <c r="D11" s="50">
        <f>'[2]2015年度'!B14</f>
        <v>804143.91999999993</v>
      </c>
      <c r="E11" s="50">
        <f>'[2]2015年度'!B15</f>
        <v>403984.91999999993</v>
      </c>
      <c r="F11" s="51">
        <f t="shared" si="0"/>
        <v>0.23744698193189986</v>
      </c>
      <c r="G11" s="51">
        <f t="shared" si="1"/>
        <v>0.49762112234834788</v>
      </c>
      <c r="H11" s="52">
        <f t="shared" si="8"/>
        <v>0.20349352476370669</v>
      </c>
      <c r="I11" s="52">
        <f t="shared" si="8"/>
        <v>-0.14155095856927971</v>
      </c>
      <c r="J11" s="51">
        <f t="shared" si="8"/>
        <v>1.1946332208384829</v>
      </c>
      <c r="K11" s="51">
        <f t="shared" si="8"/>
        <v>0.36364003676429735</v>
      </c>
      <c r="L11" s="53">
        <f t="shared" si="3"/>
        <v>959250</v>
      </c>
      <c r="M11" s="50">
        <f t="shared" si="6"/>
        <v>107730.10999999993</v>
      </c>
      <c r="N11" s="50">
        <f>M11-C11</f>
        <v>11805.109999999928</v>
      </c>
      <c r="O11" s="50">
        <f t="shared" si="9"/>
        <v>79056</v>
      </c>
      <c r="P11" s="46">
        <f t="shared" si="7"/>
        <v>0.10220221615057679</v>
      </c>
      <c r="Q11" s="50"/>
    </row>
    <row r="12" spans="1:18" s="43" customFormat="1" ht="15" customHeight="1" x14ac:dyDescent="0.25">
      <c r="A12" s="49">
        <v>2014</v>
      </c>
      <c r="B12" s="50">
        <f>'[1]2014年度'!$B$10</f>
        <v>145394.21808219174</v>
      </c>
      <c r="C12" s="50">
        <f>'[1]2014年度'!$B$11</f>
        <v>111742.21808219174</v>
      </c>
      <c r="D12" s="50">
        <f>'[2]2014年度'!B14</f>
        <v>366413.81</v>
      </c>
      <c r="E12" s="50">
        <f>'[2]2014年度'!B15</f>
        <v>296254.81</v>
      </c>
      <c r="F12" s="51">
        <f t="shared" si="0"/>
        <v>0.37718279774830238</v>
      </c>
      <c r="G12" s="51">
        <f t="shared" si="1"/>
        <v>0.19147477001480917</v>
      </c>
      <c r="H12" s="51">
        <f t="shared" si="8"/>
        <v>1.0426560935415186</v>
      </c>
      <c r="I12" s="51">
        <f t="shared" si="8"/>
        <v>1.5678421289225053</v>
      </c>
      <c r="J12" s="51">
        <f t="shared" si="8"/>
        <v>0.48493564440698023</v>
      </c>
      <c r="K12" s="51">
        <f t="shared" si="8"/>
        <v>0.67759455250714906</v>
      </c>
      <c r="L12" s="53">
        <f t="shared" si="3"/>
        <v>1117422.1808219175</v>
      </c>
      <c r="M12" s="50">
        <f t="shared" ref="M12:M21" si="10">E12-E13</f>
        <v>119659.81</v>
      </c>
      <c r="N12" s="50">
        <f t="shared" ref="N12:N21" si="11">M12-C12</f>
        <v>7917.5919178082549</v>
      </c>
      <c r="O12" s="50">
        <f t="shared" si="9"/>
        <v>33652</v>
      </c>
      <c r="P12" s="46">
        <f t="shared" si="7"/>
        <v>0.17606966004992275</v>
      </c>
      <c r="Q12" s="50"/>
    </row>
    <row r="13" spans="1:18" s="43" customFormat="1" ht="15" customHeight="1" x14ac:dyDescent="0.25">
      <c r="A13" s="49">
        <v>2013</v>
      </c>
      <c r="B13" s="50">
        <v>71179</v>
      </c>
      <c r="C13" s="50">
        <v>43516</v>
      </c>
      <c r="D13" s="50">
        <v>246754</v>
      </c>
      <c r="E13" s="50">
        <v>176595</v>
      </c>
      <c r="F13" s="51">
        <f t="shared" si="0"/>
        <v>0.24641694272204762</v>
      </c>
      <c r="G13" s="51">
        <f t="shared" si="1"/>
        <v>0.28432771099961907</v>
      </c>
      <c r="H13" s="51">
        <f t="shared" si="8"/>
        <v>-0.30321866985140083</v>
      </c>
      <c r="I13" s="51">
        <f t="shared" si="8"/>
        <v>8.572854291417166E-2</v>
      </c>
      <c r="J13" s="51">
        <f t="shared" si="8"/>
        <v>4.8023546700531328E-2</v>
      </c>
      <c r="K13" s="51">
        <f t="shared" si="8"/>
        <v>0.11302643355056662</v>
      </c>
      <c r="L13" s="53">
        <f t="shared" si="3"/>
        <v>435160</v>
      </c>
      <c r="M13" s="50">
        <f t="shared" si="10"/>
        <v>17933</v>
      </c>
      <c r="N13" s="50">
        <f t="shared" si="11"/>
        <v>-25583</v>
      </c>
      <c r="O13" s="50">
        <f t="shared" si="9"/>
        <v>27663</v>
      </c>
      <c r="P13" s="46">
        <f t="shared" si="7"/>
        <v>0.1276759570545494</v>
      </c>
      <c r="Q13" s="50"/>
    </row>
    <row r="14" spans="1:18" s="43" customFormat="1" ht="15" customHeight="1" x14ac:dyDescent="0.25">
      <c r="A14" s="49">
        <v>2012</v>
      </c>
      <c r="B14" s="50">
        <v>102154</v>
      </c>
      <c r="C14" s="50">
        <v>40080</v>
      </c>
      <c r="D14" s="50">
        <v>235447</v>
      </c>
      <c r="E14" s="50">
        <v>158662</v>
      </c>
      <c r="F14" s="51">
        <f t="shared" ref="F14:F21" si="12">C14/E14</f>
        <v>0.25261247179538893</v>
      </c>
      <c r="G14" s="51">
        <f t="shared" ref="G14:G21" si="13">1-E14/D14</f>
        <v>0.32612435070313062</v>
      </c>
      <c r="H14" s="51">
        <f t="shared" si="8"/>
        <v>0.62857507253770362</v>
      </c>
      <c r="I14" s="51">
        <f t="shared" si="8"/>
        <v>3.8571357010469369E-3</v>
      </c>
      <c r="J14" s="51">
        <f t="shared" si="8"/>
        <v>0.19223329484920298</v>
      </c>
      <c r="K14" s="51">
        <f t="shared" si="8"/>
        <v>0.31452621811282611</v>
      </c>
      <c r="L14" s="53">
        <f t="shared" ref="L14:L21" si="14">C14*10</f>
        <v>400800</v>
      </c>
      <c r="M14" s="50">
        <f t="shared" si="10"/>
        <v>37963</v>
      </c>
      <c r="N14" s="50">
        <f t="shared" si="11"/>
        <v>-2117</v>
      </c>
      <c r="O14" s="50">
        <f t="shared" si="9"/>
        <v>62074</v>
      </c>
      <c r="P14" s="46">
        <f t="shared" si="7"/>
        <v>5.1120275799851789E-2</v>
      </c>
      <c r="Q14" s="50"/>
    </row>
    <row r="15" spans="1:18" s="43" customFormat="1" ht="15" customHeight="1" x14ac:dyDescent="0.25">
      <c r="A15" s="49">
        <v>2011</v>
      </c>
      <c r="B15" s="50">
        <v>62726</v>
      </c>
      <c r="C15" s="50">
        <v>39926</v>
      </c>
      <c r="D15" s="50">
        <v>197484</v>
      </c>
      <c r="E15" s="50">
        <v>120699</v>
      </c>
      <c r="F15" s="51">
        <f t="shared" si="12"/>
        <v>0.33078981598853346</v>
      </c>
      <c r="G15" s="51">
        <f t="shared" si="13"/>
        <v>0.38881630916935039</v>
      </c>
      <c r="H15" s="51">
        <f t="shared" si="8"/>
        <v>0.16993378718642171</v>
      </c>
      <c r="I15" s="51">
        <f t="shared" si="8"/>
        <v>0.30840570211371454</v>
      </c>
      <c r="J15" s="51">
        <f t="shared" si="8"/>
        <v>0.23085936526139961</v>
      </c>
      <c r="K15" s="51">
        <f t="shared" si="8"/>
        <v>0.44274973403937412</v>
      </c>
      <c r="L15" s="53">
        <f t="shared" si="14"/>
        <v>399260</v>
      </c>
      <c r="M15" s="50">
        <f t="shared" si="10"/>
        <v>37040</v>
      </c>
      <c r="N15" s="50">
        <f t="shared" si="11"/>
        <v>-2886</v>
      </c>
      <c r="O15" s="50">
        <f t="shared" si="9"/>
        <v>22800</v>
      </c>
      <c r="P15" s="46">
        <f t="shared" si="7"/>
        <v>0.10587631578947368</v>
      </c>
      <c r="Q15" s="50"/>
    </row>
    <row r="16" spans="1:18" s="43" customFormat="1" ht="15" customHeight="1" x14ac:dyDescent="0.25">
      <c r="A16" s="49">
        <v>2010</v>
      </c>
      <c r="B16" s="50">
        <v>53615</v>
      </c>
      <c r="C16" s="50">
        <v>30515</v>
      </c>
      <c r="D16" s="50">
        <v>160444</v>
      </c>
      <c r="E16" s="50">
        <v>83659</v>
      </c>
      <c r="F16" s="51">
        <f t="shared" si="12"/>
        <v>0.36475453926056972</v>
      </c>
      <c r="G16" s="51">
        <f t="shared" si="13"/>
        <v>0.47857819550746683</v>
      </c>
      <c r="H16" s="51">
        <f t="shared" si="8"/>
        <v>0.3064083820662768</v>
      </c>
      <c r="I16" s="51">
        <f t="shared" si="8"/>
        <v>0.41666666666666669</v>
      </c>
      <c r="J16" s="51">
        <f t="shared" si="8"/>
        <v>2.3669940401242342</v>
      </c>
      <c r="K16" s="51">
        <f t="shared" si="8"/>
        <v>0.75562410811718295</v>
      </c>
      <c r="L16" s="53">
        <f t="shared" si="14"/>
        <v>305150</v>
      </c>
      <c r="M16" s="50">
        <f t="shared" si="10"/>
        <v>36007</v>
      </c>
      <c r="N16" s="50">
        <f t="shared" si="11"/>
        <v>5492</v>
      </c>
      <c r="O16" s="50">
        <f t="shared" si="9"/>
        <v>23100</v>
      </c>
      <c r="P16" s="46">
        <f t="shared" si="7"/>
        <v>7.2432034632034625E-2</v>
      </c>
      <c r="Q16" s="50"/>
    </row>
    <row r="17" spans="1:17" s="48" customFormat="1" ht="15" customHeight="1" x14ac:dyDescent="0.25">
      <c r="A17" s="49">
        <v>2009</v>
      </c>
      <c r="B17" s="50">
        <v>41040</v>
      </c>
      <c r="C17" s="50">
        <v>21540</v>
      </c>
      <c r="D17" s="50">
        <v>47652</v>
      </c>
      <c r="E17" s="50">
        <v>47652</v>
      </c>
      <c r="F17" s="51">
        <f t="shared" si="12"/>
        <v>0.45202719717955175</v>
      </c>
      <c r="G17" s="51">
        <f t="shared" si="13"/>
        <v>0</v>
      </c>
      <c r="H17" s="51">
        <f t="shared" si="8"/>
        <v>0.65217391304347827</v>
      </c>
      <c r="I17" s="51">
        <f t="shared" si="8"/>
        <v>-3.5533428165007113</v>
      </c>
      <c r="J17" s="51">
        <f t="shared" si="8"/>
        <v>1.7806500554356071</v>
      </c>
      <c r="K17" s="51">
        <f t="shared" si="8"/>
        <v>1.7806500554356071</v>
      </c>
      <c r="L17" s="53">
        <f t="shared" si="14"/>
        <v>215400</v>
      </c>
      <c r="M17" s="50">
        <f t="shared" si="10"/>
        <v>30515</v>
      </c>
      <c r="N17" s="50">
        <f t="shared" si="11"/>
        <v>8975</v>
      </c>
      <c r="O17" s="50">
        <f t="shared" si="9"/>
        <v>19500</v>
      </c>
      <c r="P17" s="46">
        <f t="shared" si="7"/>
        <v>4.8873846153846157E-2</v>
      </c>
      <c r="Q17" s="50"/>
    </row>
    <row r="18" spans="1:17" s="56" customFormat="1" ht="15" customHeight="1" x14ac:dyDescent="0.25">
      <c r="A18" s="54">
        <v>2008</v>
      </c>
      <c r="B18" s="55">
        <v>24840</v>
      </c>
      <c r="C18" s="55">
        <v>-8436</v>
      </c>
      <c r="D18" s="55">
        <v>17137</v>
      </c>
      <c r="E18" s="55">
        <v>17137</v>
      </c>
      <c r="F18" s="52">
        <f t="shared" si="12"/>
        <v>-0.49226819163214097</v>
      </c>
      <c r="G18" s="52">
        <f t="shared" si="13"/>
        <v>0</v>
      </c>
      <c r="H18" s="51">
        <f t="shared" si="8"/>
        <v>-0.4028846153846154</v>
      </c>
      <c r="I18" s="51">
        <f t="shared" si="8"/>
        <v>-1.5052707235265932</v>
      </c>
      <c r="J18" s="51">
        <f t="shared" si="8"/>
        <v>-0.64131276555664862</v>
      </c>
      <c r="K18" s="51">
        <f t="shared" si="8"/>
        <v>-0.64131276555664862</v>
      </c>
      <c r="L18" s="53">
        <f t="shared" si="14"/>
        <v>-84360</v>
      </c>
      <c r="M18" s="50">
        <f t="shared" si="10"/>
        <v>-30640</v>
      </c>
      <c r="N18" s="50">
        <f t="shared" si="11"/>
        <v>-22204</v>
      </c>
      <c r="O18" s="50">
        <f t="shared" si="9"/>
        <v>33276</v>
      </c>
      <c r="P18" s="46">
        <f t="shared" si="7"/>
        <v>1.0299915855271066E-2</v>
      </c>
      <c r="Q18" s="50"/>
    </row>
    <row r="19" spans="1:17" ht="15" customHeight="1" x14ac:dyDescent="0.25">
      <c r="A19" s="49">
        <v>2007</v>
      </c>
      <c r="B19" s="50">
        <v>41600</v>
      </c>
      <c r="C19" s="50">
        <v>16696</v>
      </c>
      <c r="D19" s="50">
        <v>47777</v>
      </c>
      <c r="E19" s="50">
        <v>47777</v>
      </c>
      <c r="F19" s="51">
        <f t="shared" si="12"/>
        <v>0.34945685162316598</v>
      </c>
      <c r="G19" s="51">
        <f t="shared" si="13"/>
        <v>0</v>
      </c>
      <c r="H19" s="51">
        <f t="shared" si="8"/>
        <v>-0.11099713638500662</v>
      </c>
      <c r="I19" s="51">
        <f t="shared" si="8"/>
        <v>4.55257060554825E-2</v>
      </c>
      <c r="J19" s="51">
        <f t="shared" si="8"/>
        <v>0.86519617411672844</v>
      </c>
      <c r="K19" s="51">
        <f t="shared" si="8"/>
        <v>0.86519617411672844</v>
      </c>
      <c r="L19" s="53">
        <f t="shared" si="14"/>
        <v>166960</v>
      </c>
      <c r="M19" s="50">
        <f t="shared" si="10"/>
        <v>22162</v>
      </c>
      <c r="N19" s="50">
        <f t="shared" si="11"/>
        <v>5466</v>
      </c>
      <c r="O19" s="50">
        <f t="shared" si="9"/>
        <v>24904</v>
      </c>
      <c r="P19" s="46">
        <f t="shared" si="7"/>
        <v>3.8368936716993256E-2</v>
      </c>
      <c r="Q19" s="50"/>
    </row>
    <row r="20" spans="1:17" ht="15" customHeight="1" x14ac:dyDescent="0.25">
      <c r="A20" s="49">
        <v>2006</v>
      </c>
      <c r="B20" s="50">
        <v>46794</v>
      </c>
      <c r="C20" s="50">
        <v>15969</v>
      </c>
      <c r="D20" s="50">
        <v>25615</v>
      </c>
      <c r="E20" s="50">
        <v>25615</v>
      </c>
      <c r="F20" s="51">
        <f t="shared" si="12"/>
        <v>0.62342377513175873</v>
      </c>
      <c r="G20" s="51">
        <f t="shared" si="13"/>
        <v>0</v>
      </c>
      <c r="H20" s="51">
        <f t="shared" si="8"/>
        <v>1.6095248717376756</v>
      </c>
      <c r="I20" s="51">
        <f t="shared" si="8"/>
        <v>0.65550487248600453</v>
      </c>
      <c r="J20" s="51">
        <f t="shared" si="8"/>
        <v>1.6555048724860046</v>
      </c>
      <c r="K20" s="51">
        <f t="shared" si="8"/>
        <v>1.6555048724860046</v>
      </c>
      <c r="L20" s="53">
        <f t="shared" si="14"/>
        <v>159690</v>
      </c>
      <c r="M20" s="50">
        <f t="shared" si="10"/>
        <v>15969</v>
      </c>
      <c r="N20" s="50">
        <f t="shared" si="11"/>
        <v>0</v>
      </c>
      <c r="O20" s="50">
        <f t="shared" si="9"/>
        <v>30825</v>
      </c>
      <c r="P20" s="46">
        <f t="shared" si="7"/>
        <v>1.6619626926196271E-2</v>
      </c>
      <c r="Q20" s="50"/>
    </row>
    <row r="21" spans="1:17" ht="15" customHeight="1" x14ac:dyDescent="0.25">
      <c r="A21" s="49">
        <v>2005</v>
      </c>
      <c r="B21" s="50">
        <v>17932</v>
      </c>
      <c r="C21" s="50">
        <v>9646</v>
      </c>
      <c r="D21" s="50">
        <v>9646</v>
      </c>
      <c r="E21" s="50">
        <v>9646</v>
      </c>
      <c r="F21" s="51">
        <f t="shared" si="12"/>
        <v>1</v>
      </c>
      <c r="G21" s="51">
        <f t="shared" si="13"/>
        <v>0</v>
      </c>
      <c r="H21" s="51" t="s">
        <v>130</v>
      </c>
      <c r="I21" s="51" t="s">
        <v>130</v>
      </c>
      <c r="J21" s="51" t="s">
        <v>130</v>
      </c>
      <c r="K21" s="51" t="s">
        <v>130</v>
      </c>
      <c r="L21" s="53">
        <f t="shared" si="14"/>
        <v>96460</v>
      </c>
      <c r="M21" s="50">
        <f t="shared" si="10"/>
        <v>9646</v>
      </c>
      <c r="N21" s="50">
        <f t="shared" si="11"/>
        <v>0</v>
      </c>
      <c r="O21" s="50">
        <f t="shared" si="9"/>
        <v>8286</v>
      </c>
      <c r="P21" s="46">
        <f t="shared" si="7"/>
        <v>2.3282645426019793E-2</v>
      </c>
      <c r="Q21" s="50"/>
    </row>
    <row r="22" spans="1:17" ht="15" customHeight="1" x14ac:dyDescent="0.25">
      <c r="F22" s="46">
        <f>AVERAGE(F7:F21)</f>
        <v>0.3121971002376121</v>
      </c>
      <c r="J22" s="46">
        <f>AVERAGE(J7:J21)</f>
        <v>0.71042291865116602</v>
      </c>
    </row>
    <row r="24" spans="1:17" ht="15" customHeight="1" x14ac:dyDescent="0.25">
      <c r="E24" s="58"/>
    </row>
  </sheetData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AA97C-C105-4938-86B5-F6C26D1A1823}">
  <dimension ref="A1:F24"/>
  <sheetViews>
    <sheetView tabSelected="1" workbookViewId="0">
      <selection activeCell="F4" sqref="F4"/>
    </sheetView>
  </sheetViews>
  <sheetFormatPr defaultRowHeight="18" customHeight="1" x14ac:dyDescent="0.25"/>
  <cols>
    <col min="1" max="1" width="30.33203125" bestFit="1" customWidth="1"/>
    <col min="2" max="3" width="10.88671875" bestFit="1" customWidth="1"/>
    <col min="4" max="4" width="10.5546875" bestFit="1" customWidth="1"/>
    <col min="6" max="6" width="68.5546875" bestFit="1" customWidth="1"/>
    <col min="7" max="7" width="12.77734375" bestFit="1" customWidth="1"/>
  </cols>
  <sheetData>
    <row r="1" spans="1:6" ht="18" customHeight="1" x14ac:dyDescent="0.25">
      <c r="A1" s="1" t="s">
        <v>152</v>
      </c>
      <c r="B1" s="2"/>
      <c r="C1" s="1"/>
      <c r="D1" s="4"/>
      <c r="E1" s="1"/>
    </row>
    <row r="2" spans="1:6" ht="18" customHeight="1" x14ac:dyDescent="0.25">
      <c r="A2" s="1" t="s">
        <v>8</v>
      </c>
      <c r="B2" s="2" t="s">
        <v>9</v>
      </c>
      <c r="C2" s="1" t="s">
        <v>16</v>
      </c>
      <c r="D2" s="4" t="s">
        <v>137</v>
      </c>
      <c r="E2" s="1"/>
      <c r="F2" s="4" t="s">
        <v>141</v>
      </c>
    </row>
    <row r="3" spans="1:6" ht="18" customHeight="1" x14ac:dyDescent="0.25">
      <c r="A3" t="s">
        <v>3</v>
      </c>
      <c r="B3" s="3">
        <f>1523538</f>
        <v>1523538</v>
      </c>
      <c r="C3" s="3">
        <f>1523538</f>
        <v>1523538</v>
      </c>
      <c r="D3" s="59"/>
      <c r="F3" t="s">
        <v>143</v>
      </c>
    </row>
    <row r="4" spans="1:6" ht="18" customHeight="1" x14ac:dyDescent="0.25">
      <c r="A4" t="s">
        <v>2</v>
      </c>
      <c r="B4" s="3">
        <v>1060000</v>
      </c>
      <c r="C4" s="3">
        <v>1060000</v>
      </c>
      <c r="D4" s="59"/>
      <c r="F4" t="s">
        <v>142</v>
      </c>
    </row>
    <row r="5" spans="1:6" ht="18" customHeight="1" x14ac:dyDescent="0.25">
      <c r="A5" t="s">
        <v>4</v>
      </c>
      <c r="B5" s="3">
        <f>2500+100</f>
        <v>2600</v>
      </c>
      <c r="C5" s="3">
        <v>2600</v>
      </c>
      <c r="D5" s="59"/>
    </row>
    <row r="6" spans="1:6" ht="18" customHeight="1" x14ac:dyDescent="0.25">
      <c r="A6" t="s">
        <v>114</v>
      </c>
      <c r="B6" s="64">
        <v>289939</v>
      </c>
      <c r="C6" s="3">
        <v>218896</v>
      </c>
      <c r="D6" s="65">
        <f t="shared" ref="D6:D12" si="0">B6/C6-1</f>
        <v>0.32455138513266579</v>
      </c>
      <c r="E6" s="3">
        <f>B6-C6</f>
        <v>71043</v>
      </c>
    </row>
    <row r="7" spans="1:6" ht="18" customHeight="1" x14ac:dyDescent="0.25">
      <c r="A7" s="1" t="s">
        <v>10</v>
      </c>
      <c r="B7" s="2">
        <f>SUM(B3:B6)</f>
        <v>2876077</v>
      </c>
      <c r="C7" s="2">
        <f>SUM(C3:C6)</f>
        <v>2805034</v>
      </c>
      <c r="D7" s="4">
        <f t="shared" si="0"/>
        <v>2.5326965733748708E-2</v>
      </c>
      <c r="F7" t="s">
        <v>146</v>
      </c>
    </row>
    <row r="8" spans="1:6" ht="18" customHeight="1" x14ac:dyDescent="0.25">
      <c r="A8" t="s">
        <v>7</v>
      </c>
      <c r="B8" s="64">
        <f>3900+206+264043+11165+154180-113210</f>
        <v>320284</v>
      </c>
      <c r="C8" s="3">
        <v>75170</v>
      </c>
      <c r="D8" s="59">
        <f t="shared" si="0"/>
        <v>3.2607955301317011</v>
      </c>
    </row>
    <row r="9" spans="1:6" ht="18" customHeight="1" x14ac:dyDescent="0.25">
      <c r="A9" t="s">
        <v>0</v>
      </c>
      <c r="B9" s="64">
        <v>495636.95593220333</v>
      </c>
      <c r="C9" s="3">
        <v>290925.78811475408</v>
      </c>
      <c r="D9" s="59">
        <f t="shared" si="0"/>
        <v>0.70365425197955322</v>
      </c>
      <c r="E9" s="59">
        <f>B9/B11</f>
        <v>0.29081403005425477</v>
      </c>
    </row>
    <row r="10" spans="1:6" ht="18" customHeight="1" x14ac:dyDescent="0.25">
      <c r="A10" t="s">
        <v>1</v>
      </c>
      <c r="B10" s="64">
        <v>888388</v>
      </c>
      <c r="C10" s="3">
        <v>907641</v>
      </c>
      <c r="D10" s="59">
        <f t="shared" si="0"/>
        <v>-2.1212131228095732E-2</v>
      </c>
      <c r="E10" s="59">
        <f>B10/B11</f>
        <v>0.52125994932302622</v>
      </c>
    </row>
    <row r="11" spans="1:6" ht="18" customHeight="1" x14ac:dyDescent="0.25">
      <c r="A11" s="1" t="s">
        <v>11</v>
      </c>
      <c r="B11" s="2">
        <f>SUM(B8:B10)</f>
        <v>1704308.9559322032</v>
      </c>
      <c r="C11" s="2">
        <f>SUM(C8:C10)</f>
        <v>1273736.788114754</v>
      </c>
      <c r="D11" s="4">
        <f t="shared" si="0"/>
        <v>0.33803857424478956</v>
      </c>
    </row>
    <row r="12" spans="1:6" ht="18" customHeight="1" x14ac:dyDescent="0.25">
      <c r="A12" s="1" t="s">
        <v>12</v>
      </c>
      <c r="B12" s="2">
        <f>B7+B11</f>
        <v>4580385.9559322037</v>
      </c>
      <c r="C12" s="2">
        <f>C7+C11</f>
        <v>4078770.788114754</v>
      </c>
      <c r="D12" s="4">
        <f t="shared" si="0"/>
        <v>0.1229819457565795</v>
      </c>
      <c r="F12" t="s">
        <v>145</v>
      </c>
    </row>
    <row r="13" spans="1:6" ht="18" customHeight="1" x14ac:dyDescent="0.25">
      <c r="A13" s="37" t="s">
        <v>115</v>
      </c>
      <c r="B13">
        <v>0</v>
      </c>
      <c r="C13" s="38">
        <v>0</v>
      </c>
      <c r="D13" s="59"/>
    </row>
    <row r="14" spans="1:6" ht="18" customHeight="1" x14ac:dyDescent="0.25">
      <c r="A14" s="1" t="s">
        <v>117</v>
      </c>
      <c r="B14" s="1">
        <v>0</v>
      </c>
      <c r="C14" s="2">
        <f>C13</f>
        <v>0</v>
      </c>
      <c r="D14" s="4"/>
    </row>
    <row r="15" spans="1:6" ht="18" customHeight="1" x14ac:dyDescent="0.25">
      <c r="A15" s="37" t="s">
        <v>134</v>
      </c>
      <c r="B15" s="64">
        <v>238767</v>
      </c>
      <c r="C15" s="3">
        <v>243690</v>
      </c>
      <c r="D15" s="59">
        <f t="shared" ref="D15:D23" si="1">B15/C15-1</f>
        <v>-2.0201895851286511E-2</v>
      </c>
      <c r="E15" s="3">
        <f>B15-C15</f>
        <v>-4923</v>
      </c>
    </row>
    <row r="16" spans="1:6" ht="18" customHeight="1" x14ac:dyDescent="0.25">
      <c r="A16" s="37" t="s">
        <v>135</v>
      </c>
      <c r="B16" s="64">
        <v>441328</v>
      </c>
      <c r="C16" s="3">
        <v>453124</v>
      </c>
      <c r="D16" s="59">
        <f t="shared" si="1"/>
        <v>-2.603260917541339E-2</v>
      </c>
      <c r="E16" s="3">
        <f>B16-C16</f>
        <v>-11796</v>
      </c>
    </row>
    <row r="17" spans="1:6" ht="18" customHeight="1" x14ac:dyDescent="0.25">
      <c r="A17" s="37" t="s">
        <v>136</v>
      </c>
      <c r="B17" s="64">
        <v>415666</v>
      </c>
      <c r="C17" s="3">
        <v>430011</v>
      </c>
      <c r="D17" s="59">
        <f t="shared" si="1"/>
        <v>-3.3359611730862659E-2</v>
      </c>
      <c r="E17" s="3">
        <f>B17-C17</f>
        <v>-14345</v>
      </c>
      <c r="F17" t="s">
        <v>153</v>
      </c>
    </row>
    <row r="18" spans="1:6" ht="18" customHeight="1" x14ac:dyDescent="0.25">
      <c r="A18" t="s">
        <v>5</v>
      </c>
      <c r="B18" s="3">
        <f>40000+36800-15-45626+5000+44000-10000+100000+130000+100000+139700+60000+40000+40000</f>
        <v>679859</v>
      </c>
      <c r="C18" s="3">
        <f>40000+36800-15-45626+5000+44000-10000+100000+130000+100000+139700+60000+40000+40000</f>
        <v>679859</v>
      </c>
      <c r="D18" s="59">
        <f t="shared" si="1"/>
        <v>0</v>
      </c>
    </row>
    <row r="19" spans="1:6" ht="18" customHeight="1" x14ac:dyDescent="0.25">
      <c r="A19" s="1" t="s">
        <v>118</v>
      </c>
      <c r="B19" s="2">
        <f>SUM(B15:B18)</f>
        <v>1775620</v>
      </c>
      <c r="C19" s="2">
        <f>SUM(C15:C18)</f>
        <v>1806684</v>
      </c>
      <c r="D19" s="4">
        <f t="shared" si="1"/>
        <v>-1.7193930980735961E-2</v>
      </c>
    </row>
    <row r="20" spans="1:6" ht="18" customHeight="1" x14ac:dyDescent="0.25">
      <c r="A20" s="1" t="s">
        <v>119</v>
      </c>
      <c r="B20" s="2">
        <f>B14+B19</f>
        <v>1775620</v>
      </c>
      <c r="C20" s="2">
        <f>C14+C19</f>
        <v>1806684</v>
      </c>
      <c r="D20" s="4">
        <f t="shared" si="1"/>
        <v>-1.7193930980735961E-2</v>
      </c>
    </row>
    <row r="21" spans="1:6" ht="18" customHeight="1" x14ac:dyDescent="0.25">
      <c r="A21" s="1" t="s">
        <v>120</v>
      </c>
      <c r="B21" s="2">
        <f>B12-B20</f>
        <v>2804765.9559322037</v>
      </c>
      <c r="C21" s="2">
        <f>C12-C20</f>
        <v>2272086.788114754</v>
      </c>
      <c r="D21" s="4">
        <f t="shared" si="1"/>
        <v>0.23444490351507907</v>
      </c>
      <c r="E21" s="4">
        <f>B21/('[3]2023年度'!$B$14*2/0.04)</f>
        <v>0.34235567142491696</v>
      </c>
      <c r="F21" t="s">
        <v>154</v>
      </c>
    </row>
    <row r="22" spans="1:6" ht="18" customHeight="1" x14ac:dyDescent="0.25">
      <c r="A22" s="1" t="s">
        <v>122</v>
      </c>
      <c r="B22" s="4">
        <f>B20/B12</f>
        <v>0.38765728850869829</v>
      </c>
      <c r="C22" s="4">
        <f>C20/C12</f>
        <v>0.44294815616129934</v>
      </c>
      <c r="D22" s="59"/>
    </row>
    <row r="23" spans="1:6" ht="18" customHeight="1" x14ac:dyDescent="0.25">
      <c r="A23" s="1" t="s">
        <v>123</v>
      </c>
      <c r="B23" s="2">
        <f>B21-C21</f>
        <v>532679.16781744966</v>
      </c>
      <c r="C23" s="2">
        <v>410777</v>
      </c>
      <c r="D23" s="4">
        <f t="shared" si="1"/>
        <v>0.29675996420795148</v>
      </c>
    </row>
    <row r="24" spans="1:6" ht="18" customHeight="1" x14ac:dyDescent="0.25">
      <c r="A24" s="1" t="s">
        <v>121</v>
      </c>
      <c r="B24" s="4">
        <f>B23/B21</f>
        <v>0.18991929315556963</v>
      </c>
      <c r="C24" s="4">
        <f>C23/C21</f>
        <v>0.18079282981124103</v>
      </c>
      <c r="D24" s="59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17C09-27C1-4BE6-B529-4368133C168B}">
  <dimension ref="A1:F24"/>
  <sheetViews>
    <sheetView topLeftCell="A4" workbookViewId="0">
      <selection activeCell="B23" sqref="B23"/>
    </sheetView>
  </sheetViews>
  <sheetFormatPr defaultRowHeight="18" customHeight="1" x14ac:dyDescent="0.25"/>
  <cols>
    <col min="1" max="1" width="30.33203125" bestFit="1" customWidth="1"/>
    <col min="2" max="3" width="10.88671875" bestFit="1" customWidth="1"/>
    <col min="4" max="4" width="10.5546875" bestFit="1" customWidth="1"/>
    <col min="6" max="6" width="68.5546875" bestFit="1" customWidth="1"/>
  </cols>
  <sheetData>
    <row r="1" spans="1:6" ht="18" customHeight="1" x14ac:dyDescent="0.25">
      <c r="A1" s="1" t="s">
        <v>140</v>
      </c>
      <c r="B1" s="2"/>
      <c r="C1" s="1"/>
      <c r="D1" s="4"/>
      <c r="E1" s="1"/>
    </row>
    <row r="2" spans="1:6" ht="18" customHeight="1" x14ac:dyDescent="0.25">
      <c r="A2" s="1" t="s">
        <v>8</v>
      </c>
      <c r="B2" s="2" t="s">
        <v>9</v>
      </c>
      <c r="C2" s="1" t="s">
        <v>16</v>
      </c>
      <c r="D2" s="4" t="s">
        <v>137</v>
      </c>
      <c r="E2" s="1"/>
      <c r="F2" s="4" t="s">
        <v>141</v>
      </c>
    </row>
    <row r="3" spans="1:6" ht="18" customHeight="1" x14ac:dyDescent="0.25">
      <c r="A3" t="s">
        <v>3</v>
      </c>
      <c r="B3" s="3">
        <f>1523538</f>
        <v>1523538</v>
      </c>
      <c r="C3" s="3">
        <f>1523538</f>
        <v>1523538</v>
      </c>
      <c r="D3" s="59"/>
      <c r="F3" t="s">
        <v>143</v>
      </c>
    </row>
    <row r="4" spans="1:6" ht="18" customHeight="1" x14ac:dyDescent="0.25">
      <c r="A4" t="s">
        <v>2</v>
      </c>
      <c r="B4" s="3">
        <v>1060000</v>
      </c>
      <c r="C4" s="3">
        <v>1060000</v>
      </c>
      <c r="D4" s="59"/>
      <c r="F4" t="s">
        <v>142</v>
      </c>
    </row>
    <row r="5" spans="1:6" ht="18" customHeight="1" x14ac:dyDescent="0.25">
      <c r="A5" t="s">
        <v>4</v>
      </c>
      <c r="B5" s="3">
        <f>2500+100</f>
        <v>2600</v>
      </c>
      <c r="C5" s="3">
        <v>2600</v>
      </c>
      <c r="D5" s="59"/>
    </row>
    <row r="6" spans="1:6" ht="18" customHeight="1" x14ac:dyDescent="0.25">
      <c r="A6" t="s">
        <v>114</v>
      </c>
      <c r="B6" s="64">
        <v>218895.56</v>
      </c>
      <c r="C6" s="3">
        <v>149738</v>
      </c>
      <c r="D6" s="65">
        <f t="shared" ref="D6:D12" si="0">B6/C6-1</f>
        <v>0.46185711041953281</v>
      </c>
      <c r="E6" s="3">
        <f>B6-C6</f>
        <v>69157.56</v>
      </c>
    </row>
    <row r="7" spans="1:6" ht="18" customHeight="1" x14ac:dyDescent="0.25">
      <c r="A7" s="1" t="s">
        <v>10</v>
      </c>
      <c r="B7" s="2">
        <f>SUM(B3:B6)</f>
        <v>2805033.56</v>
      </c>
      <c r="C7" s="2">
        <f>SUM(C3:C6)</f>
        <v>2735876</v>
      </c>
      <c r="D7" s="4">
        <f t="shared" si="0"/>
        <v>2.5278031606695617E-2</v>
      </c>
      <c r="F7" t="s">
        <v>146</v>
      </c>
    </row>
    <row r="8" spans="1:6" ht="18" customHeight="1" x14ac:dyDescent="0.25">
      <c r="A8" t="s">
        <v>7</v>
      </c>
      <c r="B8" s="64">
        <f>4350+10112+24620+8088+28000</f>
        <v>75170</v>
      </c>
      <c r="C8" s="3">
        <v>3235</v>
      </c>
      <c r="D8" s="59">
        <f t="shared" si="0"/>
        <v>22.23647604327666</v>
      </c>
    </row>
    <row r="9" spans="1:6" ht="18" customHeight="1" x14ac:dyDescent="0.25">
      <c r="A9" t="s">
        <v>0</v>
      </c>
      <c r="B9" s="64">
        <v>280511</v>
      </c>
      <c r="C9" s="3">
        <v>169455</v>
      </c>
      <c r="D9" s="59">
        <f t="shared" si="0"/>
        <v>0.65537163258682241</v>
      </c>
      <c r="E9" s="59">
        <f>B9/B11</f>
        <v>0.22204236132989055</v>
      </c>
    </row>
    <row r="10" spans="1:6" ht="18" customHeight="1" x14ac:dyDescent="0.25">
      <c r="A10" t="s">
        <v>1</v>
      </c>
      <c r="B10" s="64">
        <v>907641</v>
      </c>
      <c r="C10" s="3">
        <v>781229</v>
      </c>
      <c r="D10" s="59">
        <f t="shared" si="0"/>
        <v>0.16181170949875123</v>
      </c>
      <c r="E10" s="59">
        <f>B10/B11</f>
        <v>0.71845578561918499</v>
      </c>
    </row>
    <row r="11" spans="1:6" ht="18" customHeight="1" x14ac:dyDescent="0.25">
      <c r="A11" s="1" t="s">
        <v>11</v>
      </c>
      <c r="B11" s="2">
        <f>SUM(B8:B10)</f>
        <v>1263322</v>
      </c>
      <c r="C11" s="2">
        <f>SUM(C8:C10)</f>
        <v>953919</v>
      </c>
      <c r="D11" s="4">
        <f t="shared" si="0"/>
        <v>0.32434934203008847</v>
      </c>
    </row>
    <row r="12" spans="1:6" ht="18" customHeight="1" x14ac:dyDescent="0.25">
      <c r="A12" s="1" t="s">
        <v>12</v>
      </c>
      <c r="B12" s="2">
        <f>B7+B11</f>
        <v>4068355.56</v>
      </c>
      <c r="C12" s="2">
        <f>C7+C11</f>
        <v>3689795</v>
      </c>
      <c r="D12" s="4">
        <f t="shared" si="0"/>
        <v>0.1025966374825702</v>
      </c>
      <c r="F12" t="s">
        <v>145</v>
      </c>
    </row>
    <row r="13" spans="1:6" ht="18" customHeight="1" x14ac:dyDescent="0.25">
      <c r="A13" s="37" t="s">
        <v>115</v>
      </c>
      <c r="B13">
        <v>0</v>
      </c>
      <c r="C13" s="38">
        <v>0</v>
      </c>
      <c r="D13" s="59"/>
    </row>
    <row r="14" spans="1:6" ht="18" customHeight="1" x14ac:dyDescent="0.25">
      <c r="A14" s="1" t="s">
        <v>117</v>
      </c>
      <c r="B14" s="1">
        <v>0</v>
      </c>
      <c r="C14" s="2">
        <f>C13</f>
        <v>0</v>
      </c>
      <c r="D14" s="4"/>
    </row>
    <row r="15" spans="1:6" ht="18" customHeight="1" x14ac:dyDescent="0.25">
      <c r="A15" s="37" t="s">
        <v>134</v>
      </c>
      <c r="B15" s="64">
        <v>243690</v>
      </c>
      <c r="C15" s="3">
        <v>248202</v>
      </c>
      <c r="D15" s="59">
        <f t="shared" ref="D15:D23" si="1">B15/C15-1</f>
        <v>-1.8178741508932283E-2</v>
      </c>
      <c r="E15" s="3">
        <f>B15-C15</f>
        <v>-4512</v>
      </c>
    </row>
    <row r="16" spans="1:6" ht="18" customHeight="1" x14ac:dyDescent="0.25">
      <c r="A16" s="37" t="s">
        <v>135</v>
      </c>
      <c r="B16" s="64">
        <v>453124</v>
      </c>
      <c r="C16" s="3">
        <v>465328</v>
      </c>
      <c r="D16" s="59">
        <f t="shared" si="1"/>
        <v>-2.6226661623628966E-2</v>
      </c>
      <c r="E16" s="3">
        <f>B16-C16</f>
        <v>-12204</v>
      </c>
    </row>
    <row r="17" spans="1:6" ht="18" customHeight="1" x14ac:dyDescent="0.25">
      <c r="A17" s="37" t="s">
        <v>136</v>
      </c>
      <c r="B17" s="64">
        <v>430011</v>
      </c>
      <c r="C17" s="3">
        <v>445511</v>
      </c>
      <c r="D17" s="59">
        <f t="shared" si="1"/>
        <v>-3.4791509076094629E-2</v>
      </c>
      <c r="E17" s="3">
        <f>B17-C17</f>
        <v>-15500</v>
      </c>
      <c r="F17" t="s">
        <v>144</v>
      </c>
    </row>
    <row r="18" spans="1:6" ht="18" customHeight="1" x14ac:dyDescent="0.25">
      <c r="A18" t="s">
        <v>5</v>
      </c>
      <c r="B18" s="3">
        <f>40000+36800-15-45626+5000+44000-10000+100000+130000+100000+139700+60000+40000+40000</f>
        <v>679859</v>
      </c>
      <c r="C18" s="3">
        <f>40000+36800-15-45626+5000+44000-10000+100000+130000+100000+139700+60000+40000+40000</f>
        <v>679859</v>
      </c>
      <c r="D18" s="59">
        <f t="shared" si="1"/>
        <v>0</v>
      </c>
    </row>
    <row r="19" spans="1:6" ht="18" customHeight="1" x14ac:dyDescent="0.25">
      <c r="A19" s="1" t="s">
        <v>118</v>
      </c>
      <c r="B19" s="2">
        <f>SUM(B15:B18)</f>
        <v>1806684</v>
      </c>
      <c r="C19" s="2">
        <f>SUM(C15:C18)</f>
        <v>1838900</v>
      </c>
      <c r="D19" s="4">
        <f t="shared" si="1"/>
        <v>-1.7519169068464846E-2</v>
      </c>
    </row>
    <row r="20" spans="1:6" ht="18" customHeight="1" x14ac:dyDescent="0.25">
      <c r="A20" s="1" t="s">
        <v>119</v>
      </c>
      <c r="B20" s="2">
        <f>B14+B19</f>
        <v>1806684</v>
      </c>
      <c r="C20" s="2">
        <f>C14+C19</f>
        <v>1838900</v>
      </c>
      <c r="D20" s="4">
        <f t="shared" si="1"/>
        <v>-1.7519169068464846E-2</v>
      </c>
    </row>
    <row r="21" spans="1:6" ht="18" customHeight="1" x14ac:dyDescent="0.25">
      <c r="A21" s="1" t="s">
        <v>120</v>
      </c>
      <c r="B21" s="2">
        <f>B12-B20</f>
        <v>2261671.56</v>
      </c>
      <c r="C21" s="2">
        <f>C12-C20</f>
        <v>1850895</v>
      </c>
      <c r="D21" s="4">
        <f t="shared" si="1"/>
        <v>0.22193401570591531</v>
      </c>
      <c r="E21" s="4">
        <f>B21/('[3]2022年度'!$B$14*2/0.04)</f>
        <v>0.25681114599596899</v>
      </c>
      <c r="F21" t="s">
        <v>147</v>
      </c>
    </row>
    <row r="22" spans="1:6" ht="18" customHeight="1" x14ac:dyDescent="0.25">
      <c r="A22" s="1" t="s">
        <v>122</v>
      </c>
      <c r="B22" s="4">
        <f>B20/B12</f>
        <v>0.44408212934073049</v>
      </c>
      <c r="C22" s="4">
        <f>C20/C12</f>
        <v>0.49837457094499832</v>
      </c>
      <c r="D22" s="59"/>
    </row>
    <row r="23" spans="1:6" ht="18" customHeight="1" x14ac:dyDescent="0.25">
      <c r="A23" s="1" t="s">
        <v>123</v>
      </c>
      <c r="B23" s="2">
        <f>B21-C21</f>
        <v>410776.56000000006</v>
      </c>
      <c r="C23" s="2">
        <v>334608.89999999991</v>
      </c>
      <c r="D23" s="4">
        <f t="shared" si="1"/>
        <v>0.22763190100442676</v>
      </c>
    </row>
    <row r="24" spans="1:6" ht="18" customHeight="1" x14ac:dyDescent="0.25">
      <c r="A24" s="1" t="s">
        <v>121</v>
      </c>
      <c r="B24" s="4">
        <f>B23/B21</f>
        <v>0.18162520467826021</v>
      </c>
      <c r="C24" s="4">
        <f>C23/C21</f>
        <v>0.18078221617109555</v>
      </c>
      <c r="D24" s="59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12DA6-BD81-4419-B4DB-BFBDD04DB4C1}">
  <dimension ref="A1:E24"/>
  <sheetViews>
    <sheetView topLeftCell="A7" workbookViewId="0">
      <selection activeCell="B23" sqref="B23"/>
    </sheetView>
  </sheetViews>
  <sheetFormatPr defaultRowHeight="18" customHeight="1" x14ac:dyDescent="0.25"/>
  <cols>
    <col min="1" max="1" width="30.33203125" bestFit="1" customWidth="1"/>
    <col min="2" max="3" width="10.88671875" bestFit="1" customWidth="1"/>
    <col min="4" max="4" width="10.5546875" bestFit="1" customWidth="1"/>
  </cols>
  <sheetData>
    <row r="1" spans="1:5" ht="18" customHeight="1" x14ac:dyDescent="0.25">
      <c r="A1" s="1" t="s">
        <v>139</v>
      </c>
      <c r="B1" s="2"/>
      <c r="C1" s="1"/>
      <c r="D1" s="4"/>
      <c r="E1" s="1"/>
    </row>
    <row r="2" spans="1:5" ht="18" customHeight="1" x14ac:dyDescent="0.25">
      <c r="A2" s="1" t="s">
        <v>8</v>
      </c>
      <c r="B2" s="2" t="s">
        <v>9</v>
      </c>
      <c r="C2" s="1" t="s">
        <v>16</v>
      </c>
      <c r="D2" s="4" t="s">
        <v>137</v>
      </c>
      <c r="E2" s="1"/>
    </row>
    <row r="3" spans="1:5" ht="18" customHeight="1" x14ac:dyDescent="0.25">
      <c r="A3" t="s">
        <v>3</v>
      </c>
      <c r="B3" s="3">
        <f>1523538</f>
        <v>1523538</v>
      </c>
      <c r="C3" s="3">
        <f>1523538</f>
        <v>1523538</v>
      </c>
      <c r="D3" s="59"/>
    </row>
    <row r="4" spans="1:5" ht="18" customHeight="1" x14ac:dyDescent="0.25">
      <c r="A4" t="s">
        <v>2</v>
      </c>
      <c r="B4" s="3">
        <v>1060000</v>
      </c>
      <c r="C4" s="3">
        <v>1060000</v>
      </c>
      <c r="D4" s="59"/>
    </row>
    <row r="5" spans="1:5" ht="18" customHeight="1" x14ac:dyDescent="0.25">
      <c r="A5" t="s">
        <v>4</v>
      </c>
      <c r="B5" s="3">
        <f>2500+100</f>
        <v>2600</v>
      </c>
      <c r="C5" s="3">
        <v>2600</v>
      </c>
      <c r="D5" s="59"/>
    </row>
    <row r="6" spans="1:5" ht="18" customHeight="1" x14ac:dyDescent="0.25">
      <c r="A6" t="s">
        <v>114</v>
      </c>
      <c r="B6" s="64">
        <v>149738</v>
      </c>
      <c r="C6" s="3">
        <v>94325</v>
      </c>
      <c r="D6" s="65">
        <f t="shared" ref="D6:D12" si="0">B6/C6-1</f>
        <v>0.58746885767293922</v>
      </c>
      <c r="E6" s="3"/>
    </row>
    <row r="7" spans="1:5" ht="18" customHeight="1" x14ac:dyDescent="0.25">
      <c r="A7" s="1" t="s">
        <v>10</v>
      </c>
      <c r="B7" s="2">
        <f>SUM(B3:B6)</f>
        <v>2735876</v>
      </c>
      <c r="C7" s="2">
        <f>SUM(C3:C6)</f>
        <v>2680463</v>
      </c>
      <c r="D7" s="4">
        <f t="shared" si="0"/>
        <v>2.0672921058787264E-2</v>
      </c>
    </row>
    <row r="8" spans="1:5" ht="18" customHeight="1" x14ac:dyDescent="0.25">
      <c r="A8" t="s">
        <v>7</v>
      </c>
      <c r="B8" s="64">
        <f>1892+1342.9</f>
        <v>3234.9</v>
      </c>
      <c r="C8" s="3">
        <v>3120</v>
      </c>
      <c r="D8" s="59">
        <f t="shared" si="0"/>
        <v>3.6826923076923146E-2</v>
      </c>
    </row>
    <row r="9" spans="1:5" ht="18" customHeight="1" x14ac:dyDescent="0.25">
      <c r="A9" t="s">
        <v>0</v>
      </c>
      <c r="B9" s="64">
        <v>169455</v>
      </c>
      <c r="C9" s="3">
        <v>64362</v>
      </c>
      <c r="D9" s="59">
        <f t="shared" si="0"/>
        <v>1.632842360398993</v>
      </c>
      <c r="E9" s="59">
        <f>B9/B11</f>
        <v>0.17764088750102341</v>
      </c>
    </row>
    <row r="10" spans="1:5" ht="18" customHeight="1" x14ac:dyDescent="0.25">
      <c r="A10" t="s">
        <v>1</v>
      </c>
      <c r="B10" s="64">
        <v>781229</v>
      </c>
      <c r="C10" s="3">
        <v>633437</v>
      </c>
      <c r="D10" s="59">
        <f t="shared" si="0"/>
        <v>0.23331759906667915</v>
      </c>
      <c r="E10" s="59">
        <f>B10/B11</f>
        <v>0.81896794371093806</v>
      </c>
    </row>
    <row r="11" spans="1:5" ht="18" customHeight="1" x14ac:dyDescent="0.25">
      <c r="A11" s="1" t="s">
        <v>11</v>
      </c>
      <c r="B11" s="2">
        <f>SUM(B8:B10)</f>
        <v>953918.9</v>
      </c>
      <c r="C11" s="2">
        <f>SUM(C8:C10)</f>
        <v>700919</v>
      </c>
      <c r="D11" s="4">
        <f t="shared" si="0"/>
        <v>0.36095454681639394</v>
      </c>
    </row>
    <row r="12" spans="1:5" ht="18" customHeight="1" x14ac:dyDescent="0.25">
      <c r="A12" s="1" t="s">
        <v>12</v>
      </c>
      <c r="B12" s="2">
        <f>B7+B11</f>
        <v>3689794.9</v>
      </c>
      <c r="C12" s="2">
        <f>C7+C11</f>
        <v>3381382</v>
      </c>
      <c r="D12" s="4">
        <f t="shared" si="0"/>
        <v>9.120912691911176E-2</v>
      </c>
    </row>
    <row r="13" spans="1:5" ht="18" customHeight="1" x14ac:dyDescent="0.25">
      <c r="A13" s="37" t="s">
        <v>115</v>
      </c>
      <c r="B13">
        <v>0</v>
      </c>
      <c r="C13" s="38">
        <v>0</v>
      </c>
      <c r="D13" s="59"/>
    </row>
    <row r="14" spans="1:5" ht="18" customHeight="1" x14ac:dyDescent="0.25">
      <c r="A14" s="1" t="s">
        <v>117</v>
      </c>
      <c r="B14" s="1">
        <v>0</v>
      </c>
      <c r="C14" s="2">
        <f>C13</f>
        <v>0</v>
      </c>
      <c r="D14" s="4"/>
    </row>
    <row r="15" spans="1:5" ht="18" customHeight="1" x14ac:dyDescent="0.25">
      <c r="A15" s="37" t="s">
        <v>134</v>
      </c>
      <c r="B15" s="64">
        <v>248202</v>
      </c>
      <c r="C15" s="3">
        <f>252041</f>
        <v>252041</v>
      </c>
      <c r="D15" s="59">
        <f t="shared" ref="D15:D23" si="1">B15/C15-1</f>
        <v>-1.5231648819041377E-2</v>
      </c>
      <c r="E15" s="3">
        <f>B15-C15</f>
        <v>-3839</v>
      </c>
    </row>
    <row r="16" spans="1:5" ht="18" customHeight="1" x14ac:dyDescent="0.25">
      <c r="A16" s="37" t="s">
        <v>135</v>
      </c>
      <c r="B16" s="64">
        <v>465328</v>
      </c>
      <c r="C16" s="3">
        <v>476126</v>
      </c>
      <c r="D16" s="59">
        <f t="shared" si="1"/>
        <v>-2.2678870719095356E-2</v>
      </c>
      <c r="E16" s="3">
        <f>B16-C16</f>
        <v>-10798</v>
      </c>
    </row>
    <row r="17" spans="1:5" ht="18" customHeight="1" x14ac:dyDescent="0.25">
      <c r="A17" s="37" t="s">
        <v>136</v>
      </c>
      <c r="B17" s="64">
        <v>445511</v>
      </c>
      <c r="C17" s="3">
        <v>457070</v>
      </c>
      <c r="D17" s="59">
        <f t="shared" si="1"/>
        <v>-2.5289342989038843E-2</v>
      </c>
      <c r="E17" s="3">
        <f>B17-C17</f>
        <v>-11559</v>
      </c>
    </row>
    <row r="18" spans="1:5" ht="18" customHeight="1" x14ac:dyDescent="0.25">
      <c r="A18" t="s">
        <v>5</v>
      </c>
      <c r="B18" s="3">
        <f>40000+36800-15-45626+5000+44000-10000+100000+130000+100000+139700+60000+40000+40000</f>
        <v>679859</v>
      </c>
      <c r="C18" s="3">
        <f>40000+36800-15-45626+5000+44000-10000+100000+130000+100000+139700+60000+40000+40000</f>
        <v>679859</v>
      </c>
      <c r="D18" s="59">
        <f t="shared" si="1"/>
        <v>0</v>
      </c>
    </row>
    <row r="19" spans="1:5" ht="18" customHeight="1" x14ac:dyDescent="0.25">
      <c r="A19" s="1" t="s">
        <v>118</v>
      </c>
      <c r="B19" s="2">
        <f>SUM(B15:B18)</f>
        <v>1838900</v>
      </c>
      <c r="C19" s="2">
        <f>SUM(C15:C18)</f>
        <v>1865096</v>
      </c>
      <c r="D19" s="4">
        <f t="shared" si="1"/>
        <v>-1.4045389620695126E-2</v>
      </c>
    </row>
    <row r="20" spans="1:5" ht="18" customHeight="1" x14ac:dyDescent="0.25">
      <c r="A20" s="1" t="s">
        <v>119</v>
      </c>
      <c r="B20" s="2">
        <f>B14+B19</f>
        <v>1838900</v>
      </c>
      <c r="C20" s="2">
        <f>C14+C19</f>
        <v>1865096</v>
      </c>
      <c r="D20" s="4">
        <f t="shared" si="1"/>
        <v>-1.4045389620695126E-2</v>
      </c>
    </row>
    <row r="21" spans="1:5" ht="18" customHeight="1" x14ac:dyDescent="0.25">
      <c r="A21" s="1" t="s">
        <v>120</v>
      </c>
      <c r="B21" s="2">
        <f>B12-B20</f>
        <v>1850894.9</v>
      </c>
      <c r="C21" s="2">
        <f>C12-C20</f>
        <v>1516286</v>
      </c>
      <c r="D21" s="4">
        <f t="shared" si="1"/>
        <v>0.22067664015891464</v>
      </c>
    </row>
    <row r="22" spans="1:5" ht="18" customHeight="1" x14ac:dyDescent="0.25">
      <c r="A22" s="1" t="s">
        <v>122</v>
      </c>
      <c r="B22" s="4">
        <f>B20/B12</f>
        <v>0.49837458445183497</v>
      </c>
      <c r="C22" s="4">
        <f>C20/C12</f>
        <v>0.55157802342355877</v>
      </c>
      <c r="D22" s="59"/>
    </row>
    <row r="23" spans="1:5" ht="18" customHeight="1" x14ac:dyDescent="0.25">
      <c r="A23" s="1" t="s">
        <v>123</v>
      </c>
      <c r="B23" s="2">
        <f>B21-C21</f>
        <v>334608.89999999991</v>
      </c>
      <c r="C23" s="2">
        <v>265857</v>
      </c>
      <c r="D23" s="4">
        <f t="shared" si="1"/>
        <v>0.25860481386610057</v>
      </c>
    </row>
    <row r="24" spans="1:5" ht="18" customHeight="1" x14ac:dyDescent="0.25">
      <c r="A24" s="1" t="s">
        <v>121</v>
      </c>
      <c r="B24" s="4">
        <f>B23/B21</f>
        <v>0.18078222593838253</v>
      </c>
      <c r="C24" s="4">
        <f>C23/C21</f>
        <v>0.1753343366620809</v>
      </c>
      <c r="D24" s="59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40226-FC67-4A3D-A219-ACFD144F5185}">
  <dimension ref="A1:E24"/>
  <sheetViews>
    <sheetView topLeftCell="A5" workbookViewId="0">
      <selection activeCell="B23" sqref="B23"/>
    </sheetView>
  </sheetViews>
  <sheetFormatPr defaultRowHeight="13.8" x14ac:dyDescent="0.25"/>
  <cols>
    <col min="1" max="1" width="27" customWidth="1"/>
    <col min="2" max="3" width="10.88671875" bestFit="1" customWidth="1"/>
    <col min="4" max="4" width="11.77734375" style="59" customWidth="1"/>
  </cols>
  <sheetData>
    <row r="1" spans="1:5" s="1" customFormat="1" ht="18" customHeight="1" x14ac:dyDescent="0.25">
      <c r="A1" s="1" t="s">
        <v>133</v>
      </c>
      <c r="B1" s="2"/>
      <c r="D1" s="4"/>
    </row>
    <row r="2" spans="1:5" s="1" customFormat="1" ht="18" customHeight="1" x14ac:dyDescent="0.25">
      <c r="A2" s="1" t="s">
        <v>8</v>
      </c>
      <c r="B2" s="2" t="s">
        <v>9</v>
      </c>
      <c r="C2" s="1" t="s">
        <v>16</v>
      </c>
      <c r="D2" s="4" t="s">
        <v>137</v>
      </c>
    </row>
    <row r="3" spans="1:5" ht="18" customHeight="1" x14ac:dyDescent="0.25">
      <c r="A3" t="s">
        <v>3</v>
      </c>
      <c r="B3" s="3">
        <f>1523538</f>
        <v>1523538</v>
      </c>
      <c r="C3" s="3">
        <f>1523538</f>
        <v>1523538</v>
      </c>
    </row>
    <row r="4" spans="1:5" ht="18" customHeight="1" x14ac:dyDescent="0.25">
      <c r="A4" t="s">
        <v>2</v>
      </c>
      <c r="B4" s="3">
        <v>1060000</v>
      </c>
      <c r="C4" s="3">
        <v>1060000</v>
      </c>
    </row>
    <row r="5" spans="1:5" ht="18" customHeight="1" x14ac:dyDescent="0.25">
      <c r="A5" t="s">
        <v>4</v>
      </c>
      <c r="B5" s="3">
        <f>2500+100</f>
        <v>2600</v>
      </c>
      <c r="C5" s="3">
        <v>4600</v>
      </c>
    </row>
    <row r="6" spans="1:5" ht="18" customHeight="1" x14ac:dyDescent="0.25">
      <c r="A6" t="s">
        <v>114</v>
      </c>
      <c r="B6" s="3">
        <v>94325</v>
      </c>
      <c r="C6" s="3">
        <v>66050</v>
      </c>
      <c r="D6" s="60">
        <f t="shared" ref="D6:D12" si="0">B6/C6-1</f>
        <v>0.4280847842543527</v>
      </c>
    </row>
    <row r="7" spans="1:5" ht="18" customHeight="1" x14ac:dyDescent="0.25">
      <c r="A7" s="1" t="s">
        <v>10</v>
      </c>
      <c r="B7" s="2">
        <f>SUM(B3:B6)</f>
        <v>2680463</v>
      </c>
      <c r="C7" s="2">
        <f>SUM(C3:C6)</f>
        <v>2654188</v>
      </c>
      <c r="D7" s="62">
        <f t="shared" si="0"/>
        <v>9.8994494738127159E-3</v>
      </c>
    </row>
    <row r="8" spans="1:5" ht="18" customHeight="1" x14ac:dyDescent="0.25">
      <c r="A8" t="s">
        <v>7</v>
      </c>
      <c r="B8" s="3">
        <f>1692+1428</f>
        <v>3120</v>
      </c>
      <c r="C8" s="3">
        <v>18657</v>
      </c>
      <c r="D8" s="59">
        <f t="shared" si="0"/>
        <v>-0.83277054188776334</v>
      </c>
    </row>
    <row r="9" spans="1:5" ht="18" customHeight="1" x14ac:dyDescent="0.25">
      <c r="A9" t="s">
        <v>0</v>
      </c>
      <c r="B9" s="3">
        <f>5100*12.62</f>
        <v>64361.999999999993</v>
      </c>
      <c r="C9" s="3">
        <v>6936</v>
      </c>
      <c r="D9" s="59">
        <f t="shared" si="0"/>
        <v>8.2794117647058805</v>
      </c>
      <c r="E9" s="59">
        <f>B9/B11</f>
        <v>9.1825160967244426E-2</v>
      </c>
    </row>
    <row r="10" spans="1:5" ht="18" customHeight="1" x14ac:dyDescent="0.25">
      <c r="A10" t="s">
        <v>1</v>
      </c>
      <c r="B10" s="3">
        <v>633437</v>
      </c>
      <c r="C10" s="3">
        <v>465237</v>
      </c>
      <c r="D10" s="61">
        <f t="shared" si="0"/>
        <v>0.36153616328881832</v>
      </c>
      <c r="E10" s="59">
        <f>B10/B11</f>
        <v>0.90372354009521783</v>
      </c>
    </row>
    <row r="11" spans="1:5" ht="18" customHeight="1" x14ac:dyDescent="0.25">
      <c r="A11" s="1" t="s">
        <v>11</v>
      </c>
      <c r="B11" s="2">
        <f>SUM(B8:B10)</f>
        <v>700919</v>
      </c>
      <c r="C11" s="2">
        <f>SUM(C8:C10)</f>
        <v>490830</v>
      </c>
      <c r="D11" s="62">
        <f t="shared" si="0"/>
        <v>0.42802803414624213</v>
      </c>
    </row>
    <row r="12" spans="1:5" ht="18" customHeight="1" x14ac:dyDescent="0.25">
      <c r="A12" s="1" t="s">
        <v>12</v>
      </c>
      <c r="B12" s="2">
        <f>B7+B11</f>
        <v>3381382</v>
      </c>
      <c r="C12" s="2">
        <f>C7+C11</f>
        <v>3145018</v>
      </c>
      <c r="D12" s="62">
        <f t="shared" si="0"/>
        <v>7.5155054756443462E-2</v>
      </c>
    </row>
    <row r="13" spans="1:5" ht="18" customHeight="1" x14ac:dyDescent="0.25">
      <c r="A13" s="37" t="s">
        <v>115</v>
      </c>
      <c r="B13">
        <v>0</v>
      </c>
      <c r="C13" s="38">
        <f>3572</f>
        <v>3572</v>
      </c>
    </row>
    <row r="14" spans="1:5" ht="18" customHeight="1" x14ac:dyDescent="0.25">
      <c r="A14" s="1" t="s">
        <v>117</v>
      </c>
      <c r="B14" s="1">
        <v>0</v>
      </c>
      <c r="C14" s="2">
        <f>C13</f>
        <v>3572</v>
      </c>
      <c r="D14" s="4">
        <f>B14/C14-1</f>
        <v>-1</v>
      </c>
    </row>
    <row r="15" spans="1:5" ht="18" customHeight="1" x14ac:dyDescent="0.25">
      <c r="A15" s="37" t="s">
        <v>134</v>
      </c>
      <c r="B15" s="3">
        <f>252041</f>
        <v>252041</v>
      </c>
      <c r="C15" s="3">
        <f>255603</f>
        <v>255603</v>
      </c>
      <c r="D15" s="59">
        <f t="shared" ref="D15:D23" si="1">B15/C15-1</f>
        <v>-1.3935673681451322E-2</v>
      </c>
      <c r="E15" s="3">
        <f>B15-C15</f>
        <v>-3562</v>
      </c>
    </row>
    <row r="16" spans="1:5" ht="18" customHeight="1" x14ac:dyDescent="0.25">
      <c r="A16" s="37" t="s">
        <v>135</v>
      </c>
      <c r="B16" s="3">
        <v>476126</v>
      </c>
      <c r="C16" s="3">
        <v>486579</v>
      </c>
      <c r="D16" s="59">
        <f t="shared" si="1"/>
        <v>-2.1482636940764022E-2</v>
      </c>
      <c r="E16" s="3">
        <f>B16-C16</f>
        <v>-10453</v>
      </c>
    </row>
    <row r="17" spans="1:5" ht="18" customHeight="1" x14ac:dyDescent="0.25">
      <c r="A17" s="37" t="s">
        <v>136</v>
      </c>
      <c r="B17" s="3">
        <v>457070</v>
      </c>
      <c r="C17" s="3">
        <v>468976</v>
      </c>
      <c r="D17" s="59">
        <f t="shared" si="1"/>
        <v>-2.5387226638463378E-2</v>
      </c>
      <c r="E17" s="3">
        <f>B17-C17</f>
        <v>-11906</v>
      </c>
    </row>
    <row r="18" spans="1:5" ht="18" customHeight="1" x14ac:dyDescent="0.25">
      <c r="A18" t="s">
        <v>5</v>
      </c>
      <c r="B18" s="3">
        <f>40000+36800-15-45626+5000+44000-10000+100000+130000+100000+139700+60000+40000+40000</f>
        <v>679859</v>
      </c>
      <c r="C18" s="3">
        <f>40000+36800-15-45626+5000+44000-10000+100000+130000+100000+139700+60000+40000+40000</f>
        <v>679859</v>
      </c>
      <c r="D18" s="59">
        <f t="shared" si="1"/>
        <v>0</v>
      </c>
    </row>
    <row r="19" spans="1:5" ht="18" customHeight="1" x14ac:dyDescent="0.25">
      <c r="A19" s="1" t="s">
        <v>118</v>
      </c>
      <c r="B19" s="2">
        <f>SUM(B15:B18)</f>
        <v>1865096</v>
      </c>
      <c r="C19" s="2">
        <f>SUM(C15:C18)</f>
        <v>1891017</v>
      </c>
      <c r="D19" s="4">
        <f t="shared" si="1"/>
        <v>-1.3707438907212377E-2</v>
      </c>
    </row>
    <row r="20" spans="1:5" ht="18" customHeight="1" x14ac:dyDescent="0.25">
      <c r="A20" s="1" t="s">
        <v>119</v>
      </c>
      <c r="B20" s="2">
        <f>B14+B19</f>
        <v>1865096</v>
      </c>
      <c r="C20" s="2">
        <f>C14+C19</f>
        <v>1894589</v>
      </c>
      <c r="D20" s="4">
        <f t="shared" si="1"/>
        <v>-1.5566964655658877E-2</v>
      </c>
    </row>
    <row r="21" spans="1:5" ht="18" customHeight="1" x14ac:dyDescent="0.25">
      <c r="A21" s="1" t="s">
        <v>120</v>
      </c>
      <c r="B21" s="2">
        <f>B12-B20</f>
        <v>1516286</v>
      </c>
      <c r="C21" s="2">
        <f>C12-C20</f>
        <v>1250429</v>
      </c>
      <c r="D21" s="62">
        <f t="shared" si="1"/>
        <v>0.21261263134492236</v>
      </c>
    </row>
    <row r="22" spans="1:5" ht="18" customHeight="1" x14ac:dyDescent="0.25">
      <c r="A22" s="1" t="s">
        <v>122</v>
      </c>
      <c r="B22" s="4">
        <f>B20/B12</f>
        <v>0.55157802342355877</v>
      </c>
      <c r="C22" s="4">
        <f>C20/C12</f>
        <v>0.60240958875275119</v>
      </c>
    </row>
    <row r="23" spans="1:5" ht="18" customHeight="1" x14ac:dyDescent="0.25">
      <c r="A23" s="1" t="s">
        <v>123</v>
      </c>
      <c r="B23" s="2">
        <f>B21-C21</f>
        <v>265857</v>
      </c>
      <c r="C23" s="2">
        <v>80429</v>
      </c>
      <c r="D23" s="62">
        <f t="shared" si="1"/>
        <v>2.3054868268907982</v>
      </c>
    </row>
    <row r="24" spans="1:5" ht="18" customHeight="1" x14ac:dyDescent="0.25">
      <c r="A24" s="1" t="s">
        <v>121</v>
      </c>
      <c r="B24" s="4">
        <f>B23/B21</f>
        <v>0.1753343366620809</v>
      </c>
      <c r="C24" s="4">
        <f>C23/C21</f>
        <v>6.4321124989903472E-2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E3C0-31E9-4782-8CBE-8AD18CCB202E}">
  <dimension ref="A1:D22"/>
  <sheetViews>
    <sheetView topLeftCell="A10" workbookViewId="0">
      <selection activeCell="B21" sqref="B21"/>
    </sheetView>
  </sheetViews>
  <sheetFormatPr defaultRowHeight="13.8" x14ac:dyDescent="0.25"/>
  <cols>
    <col min="1" max="1" width="20.44140625" bestFit="1" customWidth="1"/>
    <col min="2" max="2" width="10.88671875" bestFit="1" customWidth="1"/>
    <col min="3" max="3" width="11.6640625" bestFit="1" customWidth="1"/>
    <col min="4" max="4" width="10.88671875" bestFit="1" customWidth="1"/>
  </cols>
  <sheetData>
    <row r="1" spans="1:4" s="1" customFormat="1" ht="18" customHeight="1" x14ac:dyDescent="0.25">
      <c r="A1" s="1" t="s">
        <v>131</v>
      </c>
      <c r="B1" s="2"/>
      <c r="D1" s="2"/>
    </row>
    <row r="2" spans="1:4" s="1" customFormat="1" ht="18" customHeight="1" x14ac:dyDescent="0.25">
      <c r="A2" s="1" t="s">
        <v>8</v>
      </c>
      <c r="B2" s="2" t="s">
        <v>9</v>
      </c>
      <c r="C2" s="1" t="s">
        <v>16</v>
      </c>
      <c r="D2" s="2"/>
    </row>
    <row r="3" spans="1:4" ht="18" customHeight="1" x14ac:dyDescent="0.25">
      <c r="A3" t="s">
        <v>3</v>
      </c>
      <c r="B3" s="3">
        <f>1523538</f>
        <v>1523538</v>
      </c>
      <c r="C3" s="3">
        <f>1523538</f>
        <v>1523538</v>
      </c>
      <c r="D3" s="3"/>
    </row>
    <row r="4" spans="1:4" ht="18" customHeight="1" x14ac:dyDescent="0.25">
      <c r="A4" t="s">
        <v>2</v>
      </c>
      <c r="B4" s="3">
        <v>1060000</v>
      </c>
      <c r="C4" s="3">
        <v>1060000</v>
      </c>
    </row>
    <row r="5" spans="1:4" ht="18" customHeight="1" x14ac:dyDescent="0.25">
      <c r="A5" t="s">
        <v>4</v>
      </c>
      <c r="B5" s="3">
        <f>2500+100+2000</f>
        <v>4600</v>
      </c>
      <c r="C5" s="3">
        <f>2500</f>
        <v>2500</v>
      </c>
    </row>
    <row r="6" spans="1:4" ht="18" customHeight="1" x14ac:dyDescent="0.25">
      <c r="A6" t="s">
        <v>114</v>
      </c>
      <c r="B6" s="3">
        <f>66050.06</f>
        <v>66050.06</v>
      </c>
      <c r="C6" s="3"/>
      <c r="D6" s="3"/>
    </row>
    <row r="7" spans="1:4" ht="18" customHeight="1" x14ac:dyDescent="0.25">
      <c r="A7" s="1" t="s">
        <v>10</v>
      </c>
      <c r="B7" s="2">
        <f>SUM(B3:B6)</f>
        <v>2654188.06</v>
      </c>
      <c r="C7" s="2">
        <v>2680463</v>
      </c>
    </row>
    <row r="8" spans="1:4" ht="18" customHeight="1" x14ac:dyDescent="0.25">
      <c r="A8" t="s">
        <v>7</v>
      </c>
      <c r="B8" s="3">
        <f>15281+3376</f>
        <v>18657</v>
      </c>
      <c r="D8" s="3"/>
    </row>
    <row r="9" spans="1:4" ht="18" customHeight="1" x14ac:dyDescent="0.25">
      <c r="A9" t="s">
        <v>0</v>
      </c>
      <c r="B9" s="3">
        <f>6936</f>
        <v>6936</v>
      </c>
      <c r="D9" s="3"/>
    </row>
    <row r="10" spans="1:4" ht="18" customHeight="1" x14ac:dyDescent="0.25">
      <c r="A10" t="s">
        <v>1</v>
      </c>
      <c r="B10" s="3">
        <f>465237</f>
        <v>465237</v>
      </c>
      <c r="D10" s="3"/>
    </row>
    <row r="11" spans="1:4" ht="18" customHeight="1" x14ac:dyDescent="0.25">
      <c r="A11" s="1" t="s">
        <v>11</v>
      </c>
      <c r="B11" s="2">
        <f>SUM(B8:B10)</f>
        <v>490830</v>
      </c>
      <c r="C11" s="2">
        <f>523962</f>
        <v>523962</v>
      </c>
      <c r="D11" s="3"/>
    </row>
    <row r="12" spans="1:4" ht="18" customHeight="1" x14ac:dyDescent="0.25">
      <c r="A12" s="1" t="s">
        <v>12</v>
      </c>
      <c r="B12" s="2">
        <f>B7+B11</f>
        <v>3145018.06</v>
      </c>
      <c r="C12" s="2">
        <v>3110000</v>
      </c>
      <c r="D12" s="3"/>
    </row>
    <row r="13" spans="1:4" ht="18" customHeight="1" x14ac:dyDescent="0.25">
      <c r="A13" s="37" t="s">
        <v>115</v>
      </c>
      <c r="B13" s="38">
        <f>3572</f>
        <v>3572</v>
      </c>
      <c r="C13" s="2"/>
      <c r="D13" s="3"/>
    </row>
    <row r="14" spans="1:4" ht="18" customHeight="1" x14ac:dyDescent="0.25">
      <c r="A14" s="1" t="s">
        <v>117</v>
      </c>
      <c r="B14" s="2">
        <f>B13</f>
        <v>3572</v>
      </c>
      <c r="C14" s="2"/>
      <c r="D14" s="3"/>
    </row>
    <row r="15" spans="1:4" ht="18" customHeight="1" x14ac:dyDescent="0.25">
      <c r="A15" s="37" t="s">
        <v>116</v>
      </c>
      <c r="B15" s="3">
        <f>255603+486579+468976</f>
        <v>1211158</v>
      </c>
      <c r="C15" s="3">
        <f>760000+500000</f>
        <v>1260000</v>
      </c>
      <c r="D15" s="3"/>
    </row>
    <row r="16" spans="1:4" ht="18" customHeight="1" x14ac:dyDescent="0.25">
      <c r="A16" t="s">
        <v>5</v>
      </c>
      <c r="B16" s="3">
        <f>40000+36800-15-45626+5000+44000-10000+100000+130000+100000+139700+60000+40000+40000</f>
        <v>679859</v>
      </c>
      <c r="C16" s="3">
        <f>40000+36800-15-45626+5000+44000-10000+100000+130000+100000+139700+60000+40000+40000</f>
        <v>679859</v>
      </c>
      <c r="D16" s="3"/>
    </row>
    <row r="17" spans="1:4" ht="18" customHeight="1" x14ac:dyDescent="0.25">
      <c r="A17" s="1" t="s">
        <v>118</v>
      </c>
      <c r="B17" s="2">
        <f>SUM(B15:B16)</f>
        <v>1891017</v>
      </c>
      <c r="C17" s="3"/>
      <c r="D17" s="3"/>
    </row>
    <row r="18" spans="1:4" ht="18" customHeight="1" x14ac:dyDescent="0.25">
      <c r="A18" s="1" t="s">
        <v>119</v>
      </c>
      <c r="B18" s="2">
        <f>B14+B17</f>
        <v>1894589</v>
      </c>
      <c r="C18" s="2">
        <v>1940000</v>
      </c>
      <c r="D18" s="3"/>
    </row>
    <row r="19" spans="1:4" ht="18" customHeight="1" x14ac:dyDescent="0.25">
      <c r="A19" s="1" t="s">
        <v>120</v>
      </c>
      <c r="B19" s="2">
        <f>B12-B18</f>
        <v>1250429.06</v>
      </c>
      <c r="C19" s="2">
        <f>1170000</f>
        <v>1170000</v>
      </c>
      <c r="D19" s="3"/>
    </row>
    <row r="20" spans="1:4" ht="18" customHeight="1" x14ac:dyDescent="0.25">
      <c r="A20" s="1" t="s">
        <v>122</v>
      </c>
      <c r="B20" s="4">
        <f>B18/B12</f>
        <v>0.60240957726010635</v>
      </c>
      <c r="C20" s="4">
        <f>C18/C12</f>
        <v>0.6237942122186495</v>
      </c>
      <c r="D20" s="3"/>
    </row>
    <row r="21" spans="1:4" ht="18" customHeight="1" x14ac:dyDescent="0.25">
      <c r="A21" s="1" t="s">
        <v>123</v>
      </c>
      <c r="B21" s="2">
        <f>B19-C19</f>
        <v>80429.060000000056</v>
      </c>
      <c r="C21" s="2">
        <v>180000</v>
      </c>
      <c r="D21" s="3"/>
    </row>
    <row r="22" spans="1:4" ht="18" customHeight="1" x14ac:dyDescent="0.25">
      <c r="A22" s="1" t="s">
        <v>121</v>
      </c>
      <c r="B22" s="4">
        <f>B21/B19</f>
        <v>6.4321169887078644E-2</v>
      </c>
      <c r="C22" s="4">
        <f>C21/C19</f>
        <v>0.15384615384615385</v>
      </c>
      <c r="D22" s="3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opLeftCell="A10" workbookViewId="0">
      <selection activeCell="B7" sqref="B7"/>
    </sheetView>
  </sheetViews>
  <sheetFormatPr defaultRowHeight="18" customHeight="1" x14ac:dyDescent="0.25"/>
  <cols>
    <col min="1" max="1" width="20.44140625" bestFit="1" customWidth="1"/>
    <col min="2" max="3" width="10.88671875" style="3" bestFit="1" customWidth="1"/>
    <col min="4" max="4" width="10" style="3" bestFit="1" customWidth="1"/>
  </cols>
  <sheetData>
    <row r="1" spans="1:4" s="1" customFormat="1" ht="18" customHeight="1" x14ac:dyDescent="0.25">
      <c r="A1" s="1" t="s">
        <v>6</v>
      </c>
      <c r="B1" s="2"/>
      <c r="C1" s="2"/>
      <c r="D1" s="2"/>
    </row>
    <row r="2" spans="1:4" s="1" customFormat="1" ht="18" customHeight="1" x14ac:dyDescent="0.25">
      <c r="A2" s="1" t="s">
        <v>8</v>
      </c>
      <c r="B2" s="2" t="s">
        <v>9</v>
      </c>
      <c r="C2" s="2" t="s">
        <v>16</v>
      </c>
      <c r="D2" s="2"/>
    </row>
    <row r="3" spans="1:4" ht="18" customHeight="1" x14ac:dyDescent="0.25">
      <c r="A3" t="s">
        <v>3</v>
      </c>
      <c r="B3" s="3">
        <f>1523538</f>
        <v>1523538</v>
      </c>
    </row>
    <row r="4" spans="1:4" ht="18" customHeight="1" x14ac:dyDescent="0.25">
      <c r="A4" t="s">
        <v>2</v>
      </c>
      <c r="B4" s="3">
        <v>1060000</v>
      </c>
    </row>
    <row r="5" spans="1:4" ht="18" customHeight="1" x14ac:dyDescent="0.25">
      <c r="A5" t="s">
        <v>4</v>
      </c>
      <c r="B5" s="3">
        <f>2500</f>
        <v>2500</v>
      </c>
    </row>
    <row r="6" spans="1:4" ht="18" customHeight="1" x14ac:dyDescent="0.25">
      <c r="A6" s="1" t="s">
        <v>10</v>
      </c>
      <c r="B6" s="2">
        <f>SUM(B3:B5)</f>
        <v>2586038</v>
      </c>
      <c r="C6" s="2"/>
    </row>
    <row r="7" spans="1:4" ht="18" customHeight="1" x14ac:dyDescent="0.25">
      <c r="A7" t="s">
        <v>7</v>
      </c>
    </row>
    <row r="8" spans="1:4" ht="18" customHeight="1" x14ac:dyDescent="0.25">
      <c r="A8" t="s">
        <v>0</v>
      </c>
    </row>
    <row r="9" spans="1:4" ht="18" customHeight="1" x14ac:dyDescent="0.25">
      <c r="A9" t="s">
        <v>1</v>
      </c>
    </row>
    <row r="10" spans="1:4" ht="18" customHeight="1" x14ac:dyDescent="0.25">
      <c r="A10" s="1" t="s">
        <v>11</v>
      </c>
      <c r="B10" s="2">
        <f>B11-B6</f>
        <v>523962</v>
      </c>
      <c r="C10" s="2"/>
    </row>
    <row r="11" spans="1:4" ht="18" customHeight="1" x14ac:dyDescent="0.25">
      <c r="A11" s="1" t="s">
        <v>12</v>
      </c>
      <c r="B11" s="2">
        <v>3110000</v>
      </c>
      <c r="C11" s="2">
        <v>2174394</v>
      </c>
    </row>
    <row r="12" spans="1:4" ht="18" customHeight="1" x14ac:dyDescent="0.25">
      <c r="A12" s="37" t="s">
        <v>115</v>
      </c>
      <c r="B12" s="38">
        <v>0</v>
      </c>
      <c r="C12" s="2"/>
    </row>
    <row r="13" spans="1:4" ht="18" customHeight="1" x14ac:dyDescent="0.25">
      <c r="A13" s="1" t="s">
        <v>117</v>
      </c>
      <c r="B13" s="2">
        <f>B12</f>
        <v>0</v>
      </c>
      <c r="C13" s="2"/>
    </row>
    <row r="14" spans="1:4" ht="18" customHeight="1" x14ac:dyDescent="0.25">
      <c r="A14" s="37" t="s">
        <v>116</v>
      </c>
      <c r="B14" s="3">
        <f>760000+500000</f>
        <v>1260000</v>
      </c>
    </row>
    <row r="15" spans="1:4" ht="18" customHeight="1" x14ac:dyDescent="0.25">
      <c r="A15" t="s">
        <v>5</v>
      </c>
      <c r="B15" s="3">
        <f>40000+36800-15-45626+5000+44000-10000+100000+130000+100000+139700+60000+40000+40000</f>
        <v>679859</v>
      </c>
    </row>
    <row r="16" spans="1:4" ht="18" customHeight="1" x14ac:dyDescent="0.25">
      <c r="A16" s="1" t="s">
        <v>118</v>
      </c>
      <c r="B16" s="2">
        <f>SUM(B14:B15)</f>
        <v>1939859</v>
      </c>
    </row>
    <row r="17" spans="1:3" ht="18" customHeight="1" x14ac:dyDescent="0.25">
      <c r="A17" s="1" t="s">
        <v>13</v>
      </c>
      <c r="B17" s="2">
        <f>B13+B16</f>
        <v>1939859</v>
      </c>
      <c r="C17" s="2">
        <v>1179859</v>
      </c>
    </row>
    <row r="18" spans="1:3" ht="18" customHeight="1" x14ac:dyDescent="0.25">
      <c r="A18" s="1" t="s">
        <v>14</v>
      </c>
      <c r="B18" s="2">
        <f>B11-B17</f>
        <v>1170141</v>
      </c>
      <c r="C18" s="2">
        <v>994535</v>
      </c>
    </row>
    <row r="19" spans="1:3" ht="18" customHeight="1" x14ac:dyDescent="0.25">
      <c r="A19" s="1" t="s">
        <v>122</v>
      </c>
      <c r="B19" s="4">
        <f>B17/B11</f>
        <v>0.62374887459807071</v>
      </c>
      <c r="C19" s="4">
        <f>C17/C11</f>
        <v>0.54261509183708201</v>
      </c>
    </row>
    <row r="20" spans="1:3" ht="18" customHeight="1" x14ac:dyDescent="0.25">
      <c r="A20" s="1" t="s">
        <v>123</v>
      </c>
      <c r="B20" s="2">
        <f>B18-C18</f>
        <v>175606</v>
      </c>
      <c r="C20" s="2">
        <v>398163</v>
      </c>
    </row>
    <row r="21" spans="1:3" ht="18" customHeight="1" x14ac:dyDescent="0.25">
      <c r="A21" s="1" t="s">
        <v>15</v>
      </c>
      <c r="B21" s="4">
        <f>B20/B18</f>
        <v>0.15007251262881993</v>
      </c>
      <c r="C21" s="4">
        <f>C20/C18</f>
        <v>0.40035091776558895</v>
      </c>
    </row>
    <row r="23" spans="1:3" ht="18" customHeight="1" x14ac:dyDescent="0.25">
      <c r="A23" s="1" t="s">
        <v>132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0FE2D-E3FA-476F-B4D2-9738C249C247}">
  <dimension ref="A1:H56"/>
  <sheetViews>
    <sheetView workbookViewId="0">
      <selection activeCell="B16" sqref="B16"/>
    </sheetView>
  </sheetViews>
  <sheetFormatPr defaultRowHeight="15.6" x14ac:dyDescent="0.25"/>
  <cols>
    <col min="1" max="1" width="18.77734375" style="6" bestFit="1" customWidth="1"/>
    <col min="2" max="2" width="10.21875" style="6" bestFit="1" customWidth="1"/>
    <col min="3" max="3" width="13.77734375" style="6" bestFit="1" customWidth="1"/>
    <col min="4" max="4" width="10.21875" style="6" bestFit="1" customWidth="1"/>
    <col min="5" max="256" width="8.88671875" style="6"/>
    <col min="257" max="257" width="18.77734375" style="6" bestFit="1" customWidth="1"/>
    <col min="258" max="258" width="8.88671875" style="6"/>
    <col min="259" max="259" width="13.77734375" style="6" bestFit="1" customWidth="1"/>
    <col min="260" max="260" width="10.21875" style="6" bestFit="1" customWidth="1"/>
    <col min="261" max="512" width="8.88671875" style="6"/>
    <col min="513" max="513" width="18.77734375" style="6" bestFit="1" customWidth="1"/>
    <col min="514" max="514" width="8.88671875" style="6"/>
    <col min="515" max="515" width="13.77734375" style="6" bestFit="1" customWidth="1"/>
    <col min="516" max="516" width="10.21875" style="6" bestFit="1" customWidth="1"/>
    <col min="517" max="768" width="8.88671875" style="6"/>
    <col min="769" max="769" width="18.77734375" style="6" bestFit="1" customWidth="1"/>
    <col min="770" max="770" width="8.88671875" style="6"/>
    <col min="771" max="771" width="13.77734375" style="6" bestFit="1" customWidth="1"/>
    <col min="772" max="772" width="10.21875" style="6" bestFit="1" customWidth="1"/>
    <col min="773" max="1024" width="8.88671875" style="6"/>
    <col min="1025" max="1025" width="18.77734375" style="6" bestFit="1" customWidth="1"/>
    <col min="1026" max="1026" width="8.88671875" style="6"/>
    <col min="1027" max="1027" width="13.77734375" style="6" bestFit="1" customWidth="1"/>
    <col min="1028" max="1028" width="10.21875" style="6" bestFit="1" customWidth="1"/>
    <col min="1029" max="1280" width="8.88671875" style="6"/>
    <col min="1281" max="1281" width="18.77734375" style="6" bestFit="1" customWidth="1"/>
    <col min="1282" max="1282" width="8.88671875" style="6"/>
    <col min="1283" max="1283" width="13.77734375" style="6" bestFit="1" customWidth="1"/>
    <col min="1284" max="1284" width="10.21875" style="6" bestFit="1" customWidth="1"/>
    <col min="1285" max="1536" width="8.88671875" style="6"/>
    <col min="1537" max="1537" width="18.77734375" style="6" bestFit="1" customWidth="1"/>
    <col min="1538" max="1538" width="8.88671875" style="6"/>
    <col min="1539" max="1539" width="13.77734375" style="6" bestFit="1" customWidth="1"/>
    <col min="1540" max="1540" width="10.21875" style="6" bestFit="1" customWidth="1"/>
    <col min="1541" max="1792" width="8.88671875" style="6"/>
    <col min="1793" max="1793" width="18.77734375" style="6" bestFit="1" customWidth="1"/>
    <col min="1794" max="1794" width="8.88671875" style="6"/>
    <col min="1795" max="1795" width="13.77734375" style="6" bestFit="1" customWidth="1"/>
    <col min="1796" max="1796" width="10.21875" style="6" bestFit="1" customWidth="1"/>
    <col min="1797" max="2048" width="8.88671875" style="6"/>
    <col min="2049" max="2049" width="18.77734375" style="6" bestFit="1" customWidth="1"/>
    <col min="2050" max="2050" width="8.88671875" style="6"/>
    <col min="2051" max="2051" width="13.77734375" style="6" bestFit="1" customWidth="1"/>
    <col min="2052" max="2052" width="10.21875" style="6" bestFit="1" customWidth="1"/>
    <col min="2053" max="2304" width="8.88671875" style="6"/>
    <col min="2305" max="2305" width="18.77734375" style="6" bestFit="1" customWidth="1"/>
    <col min="2306" max="2306" width="8.88671875" style="6"/>
    <col min="2307" max="2307" width="13.77734375" style="6" bestFit="1" customWidth="1"/>
    <col min="2308" max="2308" width="10.21875" style="6" bestFit="1" customWidth="1"/>
    <col min="2309" max="2560" width="8.88671875" style="6"/>
    <col min="2561" max="2561" width="18.77734375" style="6" bestFit="1" customWidth="1"/>
    <col min="2562" max="2562" width="8.88671875" style="6"/>
    <col min="2563" max="2563" width="13.77734375" style="6" bestFit="1" customWidth="1"/>
    <col min="2564" max="2564" width="10.21875" style="6" bestFit="1" customWidth="1"/>
    <col min="2565" max="2816" width="8.88671875" style="6"/>
    <col min="2817" max="2817" width="18.77734375" style="6" bestFit="1" customWidth="1"/>
    <col min="2818" max="2818" width="8.88671875" style="6"/>
    <col min="2819" max="2819" width="13.77734375" style="6" bestFit="1" customWidth="1"/>
    <col min="2820" max="2820" width="10.21875" style="6" bestFit="1" customWidth="1"/>
    <col min="2821" max="3072" width="8.88671875" style="6"/>
    <col min="3073" max="3073" width="18.77734375" style="6" bestFit="1" customWidth="1"/>
    <col min="3074" max="3074" width="8.88671875" style="6"/>
    <col min="3075" max="3075" width="13.77734375" style="6" bestFit="1" customWidth="1"/>
    <col min="3076" max="3076" width="10.21875" style="6" bestFit="1" customWidth="1"/>
    <col min="3077" max="3328" width="8.88671875" style="6"/>
    <col min="3329" max="3329" width="18.77734375" style="6" bestFit="1" customWidth="1"/>
    <col min="3330" max="3330" width="8.88671875" style="6"/>
    <col min="3331" max="3331" width="13.77734375" style="6" bestFit="1" customWidth="1"/>
    <col min="3332" max="3332" width="10.21875" style="6" bestFit="1" customWidth="1"/>
    <col min="3333" max="3584" width="8.88671875" style="6"/>
    <col min="3585" max="3585" width="18.77734375" style="6" bestFit="1" customWidth="1"/>
    <col min="3586" max="3586" width="8.88671875" style="6"/>
    <col min="3587" max="3587" width="13.77734375" style="6" bestFit="1" customWidth="1"/>
    <col min="3588" max="3588" width="10.21875" style="6" bestFit="1" customWidth="1"/>
    <col min="3589" max="3840" width="8.88671875" style="6"/>
    <col min="3841" max="3841" width="18.77734375" style="6" bestFit="1" customWidth="1"/>
    <col min="3842" max="3842" width="8.88671875" style="6"/>
    <col min="3843" max="3843" width="13.77734375" style="6" bestFit="1" customWidth="1"/>
    <col min="3844" max="3844" width="10.21875" style="6" bestFit="1" customWidth="1"/>
    <col min="3845" max="4096" width="8.88671875" style="6"/>
    <col min="4097" max="4097" width="18.77734375" style="6" bestFit="1" customWidth="1"/>
    <col min="4098" max="4098" width="8.88671875" style="6"/>
    <col min="4099" max="4099" width="13.77734375" style="6" bestFit="1" customWidth="1"/>
    <col min="4100" max="4100" width="10.21875" style="6" bestFit="1" customWidth="1"/>
    <col min="4101" max="4352" width="8.88671875" style="6"/>
    <col min="4353" max="4353" width="18.77734375" style="6" bestFit="1" customWidth="1"/>
    <col min="4354" max="4354" width="8.88671875" style="6"/>
    <col min="4355" max="4355" width="13.77734375" style="6" bestFit="1" customWidth="1"/>
    <col min="4356" max="4356" width="10.21875" style="6" bestFit="1" customWidth="1"/>
    <col min="4357" max="4608" width="8.88671875" style="6"/>
    <col min="4609" max="4609" width="18.77734375" style="6" bestFit="1" customWidth="1"/>
    <col min="4610" max="4610" width="8.88671875" style="6"/>
    <col min="4611" max="4611" width="13.77734375" style="6" bestFit="1" customWidth="1"/>
    <col min="4612" max="4612" width="10.21875" style="6" bestFit="1" customWidth="1"/>
    <col min="4613" max="4864" width="8.88671875" style="6"/>
    <col min="4865" max="4865" width="18.77734375" style="6" bestFit="1" customWidth="1"/>
    <col min="4866" max="4866" width="8.88671875" style="6"/>
    <col min="4867" max="4867" width="13.77734375" style="6" bestFit="1" customWidth="1"/>
    <col min="4868" max="4868" width="10.21875" style="6" bestFit="1" customWidth="1"/>
    <col min="4869" max="5120" width="8.88671875" style="6"/>
    <col min="5121" max="5121" width="18.77734375" style="6" bestFit="1" customWidth="1"/>
    <col min="5122" max="5122" width="8.88671875" style="6"/>
    <col min="5123" max="5123" width="13.77734375" style="6" bestFit="1" customWidth="1"/>
    <col min="5124" max="5124" width="10.21875" style="6" bestFit="1" customWidth="1"/>
    <col min="5125" max="5376" width="8.88671875" style="6"/>
    <col min="5377" max="5377" width="18.77734375" style="6" bestFit="1" customWidth="1"/>
    <col min="5378" max="5378" width="8.88671875" style="6"/>
    <col min="5379" max="5379" width="13.77734375" style="6" bestFit="1" customWidth="1"/>
    <col min="5380" max="5380" width="10.21875" style="6" bestFit="1" customWidth="1"/>
    <col min="5381" max="5632" width="8.88671875" style="6"/>
    <col min="5633" max="5633" width="18.77734375" style="6" bestFit="1" customWidth="1"/>
    <col min="5634" max="5634" width="8.88671875" style="6"/>
    <col min="5635" max="5635" width="13.77734375" style="6" bestFit="1" customWidth="1"/>
    <col min="5636" max="5636" width="10.21875" style="6" bestFit="1" customWidth="1"/>
    <col min="5637" max="5888" width="8.88671875" style="6"/>
    <col min="5889" max="5889" width="18.77734375" style="6" bestFit="1" customWidth="1"/>
    <col min="5890" max="5890" width="8.88671875" style="6"/>
    <col min="5891" max="5891" width="13.77734375" style="6" bestFit="1" customWidth="1"/>
    <col min="5892" max="5892" width="10.21875" style="6" bestFit="1" customWidth="1"/>
    <col min="5893" max="6144" width="8.88671875" style="6"/>
    <col min="6145" max="6145" width="18.77734375" style="6" bestFit="1" customWidth="1"/>
    <col min="6146" max="6146" width="8.88671875" style="6"/>
    <col min="6147" max="6147" width="13.77734375" style="6" bestFit="1" customWidth="1"/>
    <col min="6148" max="6148" width="10.21875" style="6" bestFit="1" customWidth="1"/>
    <col min="6149" max="6400" width="8.88671875" style="6"/>
    <col min="6401" max="6401" width="18.77734375" style="6" bestFit="1" customWidth="1"/>
    <col min="6402" max="6402" width="8.88671875" style="6"/>
    <col min="6403" max="6403" width="13.77734375" style="6" bestFit="1" customWidth="1"/>
    <col min="6404" max="6404" width="10.21875" style="6" bestFit="1" customWidth="1"/>
    <col min="6405" max="6656" width="8.88671875" style="6"/>
    <col min="6657" max="6657" width="18.77734375" style="6" bestFit="1" customWidth="1"/>
    <col min="6658" max="6658" width="8.88671875" style="6"/>
    <col min="6659" max="6659" width="13.77734375" style="6" bestFit="1" customWidth="1"/>
    <col min="6660" max="6660" width="10.21875" style="6" bestFit="1" customWidth="1"/>
    <col min="6661" max="6912" width="8.88671875" style="6"/>
    <col min="6913" max="6913" width="18.77734375" style="6" bestFit="1" customWidth="1"/>
    <col min="6914" max="6914" width="8.88671875" style="6"/>
    <col min="6915" max="6915" width="13.77734375" style="6" bestFit="1" customWidth="1"/>
    <col min="6916" max="6916" width="10.21875" style="6" bestFit="1" customWidth="1"/>
    <col min="6917" max="7168" width="8.88671875" style="6"/>
    <col min="7169" max="7169" width="18.77734375" style="6" bestFit="1" customWidth="1"/>
    <col min="7170" max="7170" width="8.88671875" style="6"/>
    <col min="7171" max="7171" width="13.77734375" style="6" bestFit="1" customWidth="1"/>
    <col min="7172" max="7172" width="10.21875" style="6" bestFit="1" customWidth="1"/>
    <col min="7173" max="7424" width="8.88671875" style="6"/>
    <col min="7425" max="7425" width="18.77734375" style="6" bestFit="1" customWidth="1"/>
    <col min="7426" max="7426" width="8.88671875" style="6"/>
    <col min="7427" max="7427" width="13.77734375" style="6" bestFit="1" customWidth="1"/>
    <col min="7428" max="7428" width="10.21875" style="6" bestFit="1" customWidth="1"/>
    <col min="7429" max="7680" width="8.88671875" style="6"/>
    <col min="7681" max="7681" width="18.77734375" style="6" bestFit="1" customWidth="1"/>
    <col min="7682" max="7682" width="8.88671875" style="6"/>
    <col min="7683" max="7683" width="13.77734375" style="6" bestFit="1" customWidth="1"/>
    <col min="7684" max="7684" width="10.21875" style="6" bestFit="1" customWidth="1"/>
    <col min="7685" max="7936" width="8.88671875" style="6"/>
    <col min="7937" max="7937" width="18.77734375" style="6" bestFit="1" customWidth="1"/>
    <col min="7938" max="7938" width="8.88671875" style="6"/>
    <col min="7939" max="7939" width="13.77734375" style="6" bestFit="1" customWidth="1"/>
    <col min="7940" max="7940" width="10.21875" style="6" bestFit="1" customWidth="1"/>
    <col min="7941" max="8192" width="8.88671875" style="6"/>
    <col min="8193" max="8193" width="18.77734375" style="6" bestFit="1" customWidth="1"/>
    <col min="8194" max="8194" width="8.88671875" style="6"/>
    <col min="8195" max="8195" width="13.77734375" style="6" bestFit="1" customWidth="1"/>
    <col min="8196" max="8196" width="10.21875" style="6" bestFit="1" customWidth="1"/>
    <col min="8197" max="8448" width="8.88671875" style="6"/>
    <col min="8449" max="8449" width="18.77734375" style="6" bestFit="1" customWidth="1"/>
    <col min="8450" max="8450" width="8.88671875" style="6"/>
    <col min="8451" max="8451" width="13.77734375" style="6" bestFit="1" customWidth="1"/>
    <col min="8452" max="8452" width="10.21875" style="6" bestFit="1" customWidth="1"/>
    <col min="8453" max="8704" width="8.88671875" style="6"/>
    <col min="8705" max="8705" width="18.77734375" style="6" bestFit="1" customWidth="1"/>
    <col min="8706" max="8706" width="8.88671875" style="6"/>
    <col min="8707" max="8707" width="13.77734375" style="6" bestFit="1" customWidth="1"/>
    <col min="8708" max="8708" width="10.21875" style="6" bestFit="1" customWidth="1"/>
    <col min="8709" max="8960" width="8.88671875" style="6"/>
    <col min="8961" max="8961" width="18.77734375" style="6" bestFit="1" customWidth="1"/>
    <col min="8962" max="8962" width="8.88671875" style="6"/>
    <col min="8963" max="8963" width="13.77734375" style="6" bestFit="1" customWidth="1"/>
    <col min="8964" max="8964" width="10.21875" style="6" bestFit="1" customWidth="1"/>
    <col min="8965" max="9216" width="8.88671875" style="6"/>
    <col min="9217" max="9217" width="18.77734375" style="6" bestFit="1" customWidth="1"/>
    <col min="9218" max="9218" width="8.88671875" style="6"/>
    <col min="9219" max="9219" width="13.77734375" style="6" bestFit="1" customWidth="1"/>
    <col min="9220" max="9220" width="10.21875" style="6" bestFit="1" customWidth="1"/>
    <col min="9221" max="9472" width="8.88671875" style="6"/>
    <col min="9473" max="9473" width="18.77734375" style="6" bestFit="1" customWidth="1"/>
    <col min="9474" max="9474" width="8.88671875" style="6"/>
    <col min="9475" max="9475" width="13.77734375" style="6" bestFit="1" customWidth="1"/>
    <col min="9476" max="9476" width="10.21875" style="6" bestFit="1" customWidth="1"/>
    <col min="9477" max="9728" width="8.88671875" style="6"/>
    <col min="9729" max="9729" width="18.77734375" style="6" bestFit="1" customWidth="1"/>
    <col min="9730" max="9730" width="8.88671875" style="6"/>
    <col min="9731" max="9731" width="13.77734375" style="6" bestFit="1" customWidth="1"/>
    <col min="9732" max="9732" width="10.21875" style="6" bestFit="1" customWidth="1"/>
    <col min="9733" max="9984" width="8.88671875" style="6"/>
    <col min="9985" max="9985" width="18.77734375" style="6" bestFit="1" customWidth="1"/>
    <col min="9986" max="9986" width="8.88671875" style="6"/>
    <col min="9987" max="9987" width="13.77734375" style="6" bestFit="1" customWidth="1"/>
    <col min="9988" max="9988" width="10.21875" style="6" bestFit="1" customWidth="1"/>
    <col min="9989" max="10240" width="8.88671875" style="6"/>
    <col min="10241" max="10241" width="18.77734375" style="6" bestFit="1" customWidth="1"/>
    <col min="10242" max="10242" width="8.88671875" style="6"/>
    <col min="10243" max="10243" width="13.77734375" style="6" bestFit="1" customWidth="1"/>
    <col min="10244" max="10244" width="10.21875" style="6" bestFit="1" customWidth="1"/>
    <col min="10245" max="10496" width="8.88671875" style="6"/>
    <col min="10497" max="10497" width="18.77734375" style="6" bestFit="1" customWidth="1"/>
    <col min="10498" max="10498" width="8.88671875" style="6"/>
    <col min="10499" max="10499" width="13.77734375" style="6" bestFit="1" customWidth="1"/>
    <col min="10500" max="10500" width="10.21875" style="6" bestFit="1" customWidth="1"/>
    <col min="10501" max="10752" width="8.88671875" style="6"/>
    <col min="10753" max="10753" width="18.77734375" style="6" bestFit="1" customWidth="1"/>
    <col min="10754" max="10754" width="8.88671875" style="6"/>
    <col min="10755" max="10755" width="13.77734375" style="6" bestFit="1" customWidth="1"/>
    <col min="10756" max="10756" width="10.21875" style="6" bestFit="1" customWidth="1"/>
    <col min="10757" max="11008" width="8.88671875" style="6"/>
    <col min="11009" max="11009" width="18.77734375" style="6" bestFit="1" customWidth="1"/>
    <col min="11010" max="11010" width="8.88671875" style="6"/>
    <col min="11011" max="11011" width="13.77734375" style="6" bestFit="1" customWidth="1"/>
    <col min="11012" max="11012" width="10.21875" style="6" bestFit="1" customWidth="1"/>
    <col min="11013" max="11264" width="8.88671875" style="6"/>
    <col min="11265" max="11265" width="18.77734375" style="6" bestFit="1" customWidth="1"/>
    <col min="11266" max="11266" width="8.88671875" style="6"/>
    <col min="11267" max="11267" width="13.77734375" style="6" bestFit="1" customWidth="1"/>
    <col min="11268" max="11268" width="10.21875" style="6" bestFit="1" customWidth="1"/>
    <col min="11269" max="11520" width="8.88671875" style="6"/>
    <col min="11521" max="11521" width="18.77734375" style="6" bestFit="1" customWidth="1"/>
    <col min="11522" max="11522" width="8.88671875" style="6"/>
    <col min="11523" max="11523" width="13.77734375" style="6" bestFit="1" customWidth="1"/>
    <col min="11524" max="11524" width="10.21875" style="6" bestFit="1" customWidth="1"/>
    <col min="11525" max="11776" width="8.88671875" style="6"/>
    <col min="11777" max="11777" width="18.77734375" style="6" bestFit="1" customWidth="1"/>
    <col min="11778" max="11778" width="8.88671875" style="6"/>
    <col min="11779" max="11779" width="13.77734375" style="6" bestFit="1" customWidth="1"/>
    <col min="11780" max="11780" width="10.21875" style="6" bestFit="1" customWidth="1"/>
    <col min="11781" max="12032" width="8.88671875" style="6"/>
    <col min="12033" max="12033" width="18.77734375" style="6" bestFit="1" customWidth="1"/>
    <col min="12034" max="12034" width="8.88671875" style="6"/>
    <col min="12035" max="12035" width="13.77734375" style="6" bestFit="1" customWidth="1"/>
    <col min="12036" max="12036" width="10.21875" style="6" bestFit="1" customWidth="1"/>
    <col min="12037" max="12288" width="8.88671875" style="6"/>
    <col min="12289" max="12289" width="18.77734375" style="6" bestFit="1" customWidth="1"/>
    <col min="12290" max="12290" width="8.88671875" style="6"/>
    <col min="12291" max="12291" width="13.77734375" style="6" bestFit="1" customWidth="1"/>
    <col min="12292" max="12292" width="10.21875" style="6" bestFit="1" customWidth="1"/>
    <col min="12293" max="12544" width="8.88671875" style="6"/>
    <col min="12545" max="12545" width="18.77734375" style="6" bestFit="1" customWidth="1"/>
    <col min="12546" max="12546" width="8.88671875" style="6"/>
    <col min="12547" max="12547" width="13.77734375" style="6" bestFit="1" customWidth="1"/>
    <col min="12548" max="12548" width="10.21875" style="6" bestFit="1" customWidth="1"/>
    <col min="12549" max="12800" width="8.88671875" style="6"/>
    <col min="12801" max="12801" width="18.77734375" style="6" bestFit="1" customWidth="1"/>
    <col min="12802" max="12802" width="8.88671875" style="6"/>
    <col min="12803" max="12803" width="13.77734375" style="6" bestFit="1" customWidth="1"/>
    <col min="12804" max="12804" width="10.21875" style="6" bestFit="1" customWidth="1"/>
    <col min="12805" max="13056" width="8.88671875" style="6"/>
    <col min="13057" max="13057" width="18.77734375" style="6" bestFit="1" customWidth="1"/>
    <col min="13058" max="13058" width="8.88671875" style="6"/>
    <col min="13059" max="13059" width="13.77734375" style="6" bestFit="1" customWidth="1"/>
    <col min="13060" max="13060" width="10.21875" style="6" bestFit="1" customWidth="1"/>
    <col min="13061" max="13312" width="8.88671875" style="6"/>
    <col min="13313" max="13313" width="18.77734375" style="6" bestFit="1" customWidth="1"/>
    <col min="13314" max="13314" width="8.88671875" style="6"/>
    <col min="13315" max="13315" width="13.77734375" style="6" bestFit="1" customWidth="1"/>
    <col min="13316" max="13316" width="10.21875" style="6" bestFit="1" customWidth="1"/>
    <col min="13317" max="13568" width="8.88671875" style="6"/>
    <col min="13569" max="13569" width="18.77734375" style="6" bestFit="1" customWidth="1"/>
    <col min="13570" max="13570" width="8.88671875" style="6"/>
    <col min="13571" max="13571" width="13.77734375" style="6" bestFit="1" customWidth="1"/>
    <col min="13572" max="13572" width="10.21875" style="6" bestFit="1" customWidth="1"/>
    <col min="13573" max="13824" width="8.88671875" style="6"/>
    <col min="13825" max="13825" width="18.77734375" style="6" bestFit="1" customWidth="1"/>
    <col min="13826" max="13826" width="8.88671875" style="6"/>
    <col min="13827" max="13827" width="13.77734375" style="6" bestFit="1" customWidth="1"/>
    <col min="13828" max="13828" width="10.21875" style="6" bestFit="1" customWidth="1"/>
    <col min="13829" max="14080" width="8.88671875" style="6"/>
    <col min="14081" max="14081" width="18.77734375" style="6" bestFit="1" customWidth="1"/>
    <col min="14082" max="14082" width="8.88671875" style="6"/>
    <col min="14083" max="14083" width="13.77734375" style="6" bestFit="1" customWidth="1"/>
    <col min="14084" max="14084" width="10.21875" style="6" bestFit="1" customWidth="1"/>
    <col min="14085" max="14336" width="8.88671875" style="6"/>
    <col min="14337" max="14337" width="18.77734375" style="6" bestFit="1" customWidth="1"/>
    <col min="14338" max="14338" width="8.88671875" style="6"/>
    <col min="14339" max="14339" width="13.77734375" style="6" bestFit="1" customWidth="1"/>
    <col min="14340" max="14340" width="10.21875" style="6" bestFit="1" customWidth="1"/>
    <col min="14341" max="14592" width="8.88671875" style="6"/>
    <col min="14593" max="14593" width="18.77734375" style="6" bestFit="1" customWidth="1"/>
    <col min="14594" max="14594" width="8.88671875" style="6"/>
    <col min="14595" max="14595" width="13.77734375" style="6" bestFit="1" customWidth="1"/>
    <col min="14596" max="14596" width="10.21875" style="6" bestFit="1" customWidth="1"/>
    <col min="14597" max="14848" width="8.88671875" style="6"/>
    <col min="14849" max="14849" width="18.77734375" style="6" bestFit="1" customWidth="1"/>
    <col min="14850" max="14850" width="8.88671875" style="6"/>
    <col min="14851" max="14851" width="13.77734375" style="6" bestFit="1" customWidth="1"/>
    <col min="14852" max="14852" width="10.21875" style="6" bestFit="1" customWidth="1"/>
    <col min="14853" max="15104" width="8.88671875" style="6"/>
    <col min="15105" max="15105" width="18.77734375" style="6" bestFit="1" customWidth="1"/>
    <col min="15106" max="15106" width="8.88671875" style="6"/>
    <col min="15107" max="15107" width="13.77734375" style="6" bestFit="1" customWidth="1"/>
    <col min="15108" max="15108" width="10.21875" style="6" bestFit="1" customWidth="1"/>
    <col min="15109" max="15360" width="8.88671875" style="6"/>
    <col min="15361" max="15361" width="18.77734375" style="6" bestFit="1" customWidth="1"/>
    <col min="15362" max="15362" width="8.88671875" style="6"/>
    <col min="15363" max="15363" width="13.77734375" style="6" bestFit="1" customWidth="1"/>
    <col min="15364" max="15364" width="10.21875" style="6" bestFit="1" customWidth="1"/>
    <col min="15365" max="15616" width="8.88671875" style="6"/>
    <col min="15617" max="15617" width="18.77734375" style="6" bestFit="1" customWidth="1"/>
    <col min="15618" max="15618" width="8.88671875" style="6"/>
    <col min="15619" max="15619" width="13.77734375" style="6" bestFit="1" customWidth="1"/>
    <col min="15620" max="15620" width="10.21875" style="6" bestFit="1" customWidth="1"/>
    <col min="15621" max="15872" width="8.88671875" style="6"/>
    <col min="15873" max="15873" width="18.77734375" style="6" bestFit="1" customWidth="1"/>
    <col min="15874" max="15874" width="8.88671875" style="6"/>
    <col min="15875" max="15875" width="13.77734375" style="6" bestFit="1" customWidth="1"/>
    <col min="15876" max="15876" width="10.21875" style="6" bestFit="1" customWidth="1"/>
    <col min="15877" max="16128" width="8.88671875" style="6"/>
    <col min="16129" max="16129" width="18.77734375" style="6" bestFit="1" customWidth="1"/>
    <col min="16130" max="16130" width="8.88671875" style="6"/>
    <col min="16131" max="16131" width="13.77734375" style="6" bestFit="1" customWidth="1"/>
    <col min="16132" max="16132" width="10.21875" style="6" bestFit="1" customWidth="1"/>
    <col min="16133" max="16384" width="8.88671875" style="6"/>
  </cols>
  <sheetData>
    <row r="1" spans="1:8" x14ac:dyDescent="0.25">
      <c r="A1" s="5" t="s">
        <v>17</v>
      </c>
    </row>
    <row r="2" spans="1:8" x14ac:dyDescent="0.25">
      <c r="A2" s="7" t="s">
        <v>18</v>
      </c>
      <c r="B2" s="7" t="s">
        <v>19</v>
      </c>
      <c r="C2" s="7" t="s">
        <v>20</v>
      </c>
      <c r="D2" s="7" t="s">
        <v>19</v>
      </c>
    </row>
    <row r="3" spans="1:8" x14ac:dyDescent="0.25">
      <c r="A3" s="8" t="s">
        <v>21</v>
      </c>
      <c r="B3" s="9">
        <v>0</v>
      </c>
      <c r="C3" s="8" t="s">
        <v>22</v>
      </c>
      <c r="D3" s="9">
        <v>0</v>
      </c>
    </row>
    <row r="4" spans="1:8" x14ac:dyDescent="0.25">
      <c r="A4" s="8" t="s">
        <v>23</v>
      </c>
      <c r="B4" s="10">
        <v>1060000</v>
      </c>
      <c r="C4" s="8" t="s">
        <v>24</v>
      </c>
      <c r="D4" s="9">
        <v>0</v>
      </c>
    </row>
    <row r="5" spans="1:8" x14ac:dyDescent="0.25">
      <c r="A5" s="8" t="s">
        <v>25</v>
      </c>
      <c r="B5" s="9">
        <v>0</v>
      </c>
      <c r="C5" s="8" t="s">
        <v>26</v>
      </c>
      <c r="D5" s="9">
        <v>0</v>
      </c>
    </row>
    <row r="6" spans="1:8" x14ac:dyDescent="0.25">
      <c r="A6" s="8" t="s">
        <v>27</v>
      </c>
      <c r="B6" s="10">
        <f>2500+100</f>
        <v>2600</v>
      </c>
      <c r="C6" s="8" t="s">
        <v>28</v>
      </c>
      <c r="D6" s="9">
        <v>0</v>
      </c>
    </row>
    <row r="7" spans="1:8" x14ac:dyDescent="0.25">
      <c r="A7" s="7" t="s">
        <v>29</v>
      </c>
      <c r="B7" s="10">
        <f>SUM(B3:B6)</f>
        <v>1062600</v>
      </c>
      <c r="C7" s="7" t="s">
        <v>30</v>
      </c>
      <c r="D7" s="9">
        <v>0</v>
      </c>
      <c r="E7" s="7"/>
    </row>
    <row r="8" spans="1:8" x14ac:dyDescent="0.25">
      <c r="A8" s="8" t="s">
        <v>31</v>
      </c>
      <c r="B8" s="10">
        <f>9266.52+48.94+1300</f>
        <v>10615.460000000001</v>
      </c>
      <c r="C8" s="8" t="s">
        <v>32</v>
      </c>
      <c r="D8" s="10">
        <v>500000</v>
      </c>
    </row>
    <row r="9" spans="1:8" x14ac:dyDescent="0.25">
      <c r="A9" s="8" t="s">
        <v>33</v>
      </c>
      <c r="B9" s="10">
        <v>229711</v>
      </c>
      <c r="C9" s="8" t="s">
        <v>34</v>
      </c>
      <c r="D9" s="9">
        <v>0</v>
      </c>
      <c r="E9" s="6">
        <f>B9/B14</f>
        <v>0.10564369127742962</v>
      </c>
    </row>
    <row r="10" spans="1:8" x14ac:dyDescent="0.25">
      <c r="A10" s="8" t="s">
        <v>35</v>
      </c>
      <c r="B10" s="10">
        <f>802514+0.84+16.62</f>
        <v>802531.46</v>
      </c>
      <c r="C10" s="8" t="s">
        <v>36</v>
      </c>
      <c r="D10" s="10">
        <f>40000+36800-15-45626+5000+44000-10000+100000+130000+100000+139700+60000+40000+40000</f>
        <v>679859</v>
      </c>
      <c r="E10" s="7"/>
    </row>
    <row r="11" spans="1:8" x14ac:dyDescent="0.25">
      <c r="A11" s="8" t="s">
        <v>37</v>
      </c>
      <c r="B11" s="10">
        <v>68936</v>
      </c>
      <c r="C11" s="7" t="s">
        <v>38</v>
      </c>
      <c r="D11" s="10">
        <f>SUM(D8:D10)</f>
        <v>1179859</v>
      </c>
    </row>
    <row r="12" spans="1:8" x14ac:dyDescent="0.25">
      <c r="A12" s="8" t="s">
        <v>39</v>
      </c>
      <c r="B12" s="10">
        <v>0</v>
      </c>
      <c r="C12" s="7" t="s">
        <v>40</v>
      </c>
      <c r="D12" s="10">
        <f>D7+D11</f>
        <v>1179859</v>
      </c>
    </row>
    <row r="13" spans="1:8" x14ac:dyDescent="0.25">
      <c r="A13" s="7" t="s">
        <v>41</v>
      </c>
      <c r="B13" s="10">
        <f>SUM(B8:B12)</f>
        <v>1111793.92</v>
      </c>
      <c r="C13" s="11"/>
      <c r="D13" s="11"/>
    </row>
    <row r="14" spans="1:8" x14ac:dyDescent="0.25">
      <c r="A14" s="7" t="s">
        <v>42</v>
      </c>
      <c r="B14" s="12">
        <f>B13+B7</f>
        <v>2174393.92</v>
      </c>
      <c r="C14" s="13"/>
      <c r="D14" s="10"/>
      <c r="H14" s="14"/>
    </row>
    <row r="15" spans="1:8" x14ac:dyDescent="0.25">
      <c r="A15" s="7" t="s">
        <v>43</v>
      </c>
      <c r="B15" s="12">
        <f>B14-D12</f>
        <v>994534.91999999993</v>
      </c>
      <c r="C15" s="7"/>
      <c r="D15" s="12"/>
      <c r="H15" s="14"/>
    </row>
    <row r="16" spans="1:8" x14ac:dyDescent="0.25">
      <c r="A16" s="7" t="s">
        <v>44</v>
      </c>
      <c r="B16" s="15">
        <f>B15-'[2]2016年度'!B15</f>
        <v>398163.48094399995</v>
      </c>
      <c r="C16" s="13"/>
      <c r="D16" s="10"/>
      <c r="H16" s="14"/>
    </row>
    <row r="17" spans="1:8" x14ac:dyDescent="0.25">
      <c r="A17" s="7" t="s">
        <v>45</v>
      </c>
      <c r="B17" s="14">
        <f>D12/B14</f>
        <v>0.54261511180090127</v>
      </c>
      <c r="C17" s="9"/>
      <c r="D17" s="9"/>
      <c r="E17" s="16"/>
      <c r="H17" s="14"/>
    </row>
    <row r="18" spans="1:8" x14ac:dyDescent="0.25">
      <c r="A18" s="5" t="s">
        <v>46</v>
      </c>
      <c r="B18" s="17">
        <f>B16/B15</f>
        <v>0.40035143355650094</v>
      </c>
      <c r="C18" s="18"/>
      <c r="D18" s="18"/>
    </row>
    <row r="19" spans="1:8" x14ac:dyDescent="0.25">
      <c r="A19" s="5"/>
      <c r="B19" s="17"/>
      <c r="C19" s="18"/>
      <c r="D19" s="18"/>
    </row>
    <row r="20" spans="1:8" x14ac:dyDescent="0.25">
      <c r="A20" s="5" t="s">
        <v>47</v>
      </c>
    </row>
    <row r="21" spans="1:8" x14ac:dyDescent="0.25">
      <c r="A21" s="7" t="s">
        <v>18</v>
      </c>
      <c r="B21" s="7" t="s">
        <v>19</v>
      </c>
      <c r="C21" s="7" t="s">
        <v>20</v>
      </c>
      <c r="D21" s="7" t="s">
        <v>19</v>
      </c>
    </row>
    <row r="22" spans="1:8" x14ac:dyDescent="0.25">
      <c r="A22" s="8" t="s">
        <v>21</v>
      </c>
      <c r="B22" s="9">
        <v>0</v>
      </c>
      <c r="C22" s="8" t="s">
        <v>22</v>
      </c>
      <c r="D22" s="9">
        <v>0</v>
      </c>
    </row>
    <row r="23" spans="1:8" x14ac:dyDescent="0.25">
      <c r="A23" s="8" t="s">
        <v>23</v>
      </c>
      <c r="B23" s="10">
        <v>1060000</v>
      </c>
      <c r="C23" s="8" t="s">
        <v>24</v>
      </c>
      <c r="D23" s="9">
        <v>0</v>
      </c>
    </row>
    <row r="24" spans="1:8" x14ac:dyDescent="0.25">
      <c r="A24" s="8" t="s">
        <v>25</v>
      </c>
      <c r="B24" s="9">
        <v>0</v>
      </c>
      <c r="C24" s="8" t="s">
        <v>26</v>
      </c>
      <c r="D24" s="9">
        <v>0</v>
      </c>
    </row>
    <row r="25" spans="1:8" x14ac:dyDescent="0.25">
      <c r="A25" s="8" t="s">
        <v>27</v>
      </c>
      <c r="B25" s="10">
        <f>2500+100</f>
        <v>2600</v>
      </c>
      <c r="C25" s="8" t="s">
        <v>28</v>
      </c>
      <c r="D25" s="9">
        <v>0</v>
      </c>
    </row>
    <row r="26" spans="1:8" x14ac:dyDescent="0.25">
      <c r="A26" s="7" t="s">
        <v>29</v>
      </c>
      <c r="B26" s="10">
        <f>SUM(B22:B25)</f>
        <v>1062600</v>
      </c>
      <c r="C26" s="7" t="s">
        <v>30</v>
      </c>
      <c r="D26" s="9">
        <v>0</v>
      </c>
      <c r="E26" s="7"/>
    </row>
    <row r="27" spans="1:8" x14ac:dyDescent="0.25">
      <c r="A27" s="8" t="s">
        <v>31</v>
      </c>
      <c r="B27" s="10">
        <f>25975.78+1.58+500+6360</f>
        <v>32837.360000000001</v>
      </c>
      <c r="C27" s="8" t="s">
        <v>32</v>
      </c>
      <c r="D27" s="10">
        <v>500000</v>
      </c>
    </row>
    <row r="28" spans="1:8" x14ac:dyDescent="0.25">
      <c r="A28" s="8" t="s">
        <v>33</v>
      </c>
      <c r="B28" s="10">
        <v>389065</v>
      </c>
      <c r="C28" s="8" t="s">
        <v>34</v>
      </c>
      <c r="D28" s="9">
        <v>0</v>
      </c>
      <c r="E28" s="6">
        <f>B28/B33</f>
        <v>0.2256438563432544</v>
      </c>
    </row>
    <row r="29" spans="1:8" x14ac:dyDescent="0.25">
      <c r="A29" s="8" t="s">
        <v>35</v>
      </c>
      <c r="B29" s="10">
        <f>182558.51+0+2.69</f>
        <v>182561.2</v>
      </c>
      <c r="C29" s="8" t="s">
        <v>36</v>
      </c>
      <c r="D29" s="10">
        <f>40000+36800-15-45626+5000+44000-10000+100000+130000+100000+139700+60000</f>
        <v>599859</v>
      </c>
      <c r="E29" s="7"/>
    </row>
    <row r="30" spans="1:8" x14ac:dyDescent="0.25">
      <c r="A30" s="8" t="s">
        <v>37</v>
      </c>
      <c r="B30" s="10">
        <v>57180.15</v>
      </c>
      <c r="C30" s="7" t="s">
        <v>38</v>
      </c>
      <c r="D30" s="10">
        <f>SUM(D27:D29)</f>
        <v>1099859</v>
      </c>
    </row>
    <row r="31" spans="1:8" x14ac:dyDescent="0.25">
      <c r="A31" s="8" t="s">
        <v>39</v>
      </c>
      <c r="B31" s="10">
        <v>0</v>
      </c>
      <c r="C31" s="7" t="s">
        <v>40</v>
      </c>
      <c r="D31" s="10">
        <f>D26+D30</f>
        <v>1099859</v>
      </c>
    </row>
    <row r="32" spans="1:8" x14ac:dyDescent="0.25">
      <c r="A32" s="7" t="s">
        <v>41</v>
      </c>
      <c r="B32" s="10">
        <f>SUM(B27:B31)</f>
        <v>661643.71000000008</v>
      </c>
      <c r="C32" s="11"/>
      <c r="D32" s="11"/>
    </row>
    <row r="33" spans="1:8" x14ac:dyDescent="0.25">
      <c r="A33" s="7" t="s">
        <v>42</v>
      </c>
      <c r="B33" s="12">
        <f>B32+B26</f>
        <v>1724243.71</v>
      </c>
      <c r="C33" s="13"/>
      <c r="D33" s="10"/>
      <c r="H33" s="14"/>
    </row>
    <row r="34" spans="1:8" x14ac:dyDescent="0.25">
      <c r="A34" s="7" t="s">
        <v>43</v>
      </c>
      <c r="B34" s="12">
        <f>B33-D31</f>
        <v>624384.71</v>
      </c>
      <c r="C34" s="7" t="s">
        <v>48</v>
      </c>
      <c r="D34" s="12">
        <f>B34+300000+600000</f>
        <v>1524384.71</v>
      </c>
      <c r="H34" s="14"/>
    </row>
    <row r="35" spans="1:8" x14ac:dyDescent="0.25">
      <c r="A35" s="7" t="s">
        <v>44</v>
      </c>
      <c r="B35" s="15"/>
      <c r="C35" s="13"/>
      <c r="D35" s="10"/>
      <c r="H35" s="14"/>
    </row>
    <row r="36" spans="1:8" x14ac:dyDescent="0.25">
      <c r="A36" s="7" t="s">
        <v>45</v>
      </c>
      <c r="B36" s="14">
        <f>D31/B33</f>
        <v>0.63787908496995471</v>
      </c>
      <c r="C36" s="9"/>
      <c r="D36" s="9"/>
      <c r="E36" s="16"/>
      <c r="H36" s="14"/>
    </row>
    <row r="37" spans="1:8" x14ac:dyDescent="0.25">
      <c r="A37" s="5" t="s">
        <v>46</v>
      </c>
      <c r="B37" s="17">
        <f>B35/B34</f>
        <v>0</v>
      </c>
      <c r="C37" s="18"/>
      <c r="D37" s="18"/>
    </row>
    <row r="38" spans="1:8" x14ac:dyDescent="0.25">
      <c r="A38" s="5"/>
      <c r="B38" s="17"/>
      <c r="C38" s="18"/>
      <c r="D38" s="18"/>
    </row>
    <row r="39" spans="1:8" x14ac:dyDescent="0.25">
      <c r="A39" s="5" t="s">
        <v>49</v>
      </c>
    </row>
    <row r="40" spans="1:8" x14ac:dyDescent="0.25">
      <c r="A40" s="7" t="s">
        <v>18</v>
      </c>
      <c r="B40" s="7" t="s">
        <v>19</v>
      </c>
      <c r="C40" s="7" t="s">
        <v>20</v>
      </c>
      <c r="D40" s="7" t="s">
        <v>19</v>
      </c>
    </row>
    <row r="41" spans="1:8" x14ac:dyDescent="0.25">
      <c r="A41" s="8" t="s">
        <v>21</v>
      </c>
      <c r="B41" s="9">
        <v>0</v>
      </c>
      <c r="C41" s="8" t="s">
        <v>22</v>
      </c>
      <c r="D41" s="9">
        <v>0</v>
      </c>
    </row>
    <row r="42" spans="1:8" x14ac:dyDescent="0.25">
      <c r="A42" s="8" t="s">
        <v>23</v>
      </c>
      <c r="B42" s="10">
        <v>1060000</v>
      </c>
      <c r="C42" s="8" t="s">
        <v>24</v>
      </c>
      <c r="D42" s="9">
        <v>0</v>
      </c>
    </row>
    <row r="43" spans="1:8" x14ac:dyDescent="0.25">
      <c r="A43" s="8" t="s">
        <v>25</v>
      </c>
      <c r="B43" s="9">
        <v>0</v>
      </c>
      <c r="C43" s="8" t="s">
        <v>26</v>
      </c>
      <c r="D43" s="9">
        <v>0</v>
      </c>
    </row>
    <row r="44" spans="1:8" x14ac:dyDescent="0.25">
      <c r="A44" s="8" t="s">
        <v>27</v>
      </c>
      <c r="B44" s="10">
        <f>2500+100</f>
        <v>2600</v>
      </c>
      <c r="C44" s="8" t="s">
        <v>28</v>
      </c>
      <c r="D44" s="9">
        <v>0</v>
      </c>
    </row>
    <row r="45" spans="1:8" x14ac:dyDescent="0.25">
      <c r="A45" s="7" t="s">
        <v>29</v>
      </c>
      <c r="B45" s="10">
        <f>SUM(B41:B44)</f>
        <v>1062600</v>
      </c>
      <c r="C45" s="7" t="s">
        <v>30</v>
      </c>
      <c r="D45" s="9">
        <v>0</v>
      </c>
      <c r="E45" s="7"/>
    </row>
    <row r="46" spans="1:8" x14ac:dyDescent="0.25">
      <c r="A46" s="8" t="s">
        <v>31</v>
      </c>
      <c r="B46" s="10">
        <f>800.17*6.8768+3541.22+56+700</f>
        <v>9799.8290560000005</v>
      </c>
      <c r="C46" s="8" t="s">
        <v>32</v>
      </c>
      <c r="D46" s="10">
        <v>500000</v>
      </c>
    </row>
    <row r="47" spans="1:8" x14ac:dyDescent="0.25">
      <c r="A47" s="8" t="s">
        <v>33</v>
      </c>
      <c r="B47" s="10">
        <f>302960</f>
        <v>302960</v>
      </c>
      <c r="C47" s="8" t="s">
        <v>34</v>
      </c>
      <c r="D47" s="9">
        <v>0</v>
      </c>
      <c r="E47" s="6">
        <f>B47/B52</f>
        <v>0.18515729372128567</v>
      </c>
    </row>
    <row r="48" spans="1:8" x14ac:dyDescent="0.25">
      <c r="A48" s="8" t="s">
        <v>35</v>
      </c>
      <c r="B48" s="10">
        <f>701222.58+66621.22+920.26-560000</f>
        <v>208764.05999999994</v>
      </c>
      <c r="C48" s="8" t="s">
        <v>36</v>
      </c>
      <c r="D48" s="10">
        <f>40000+36800-15-45626+5000+44000-10000+100000+130000+100000+139700</f>
        <v>539859</v>
      </c>
      <c r="E48" s="7"/>
    </row>
    <row r="49" spans="1:8" x14ac:dyDescent="0.25">
      <c r="A49" s="8" t="s">
        <v>37</v>
      </c>
      <c r="B49" s="10">
        <v>52106.55</v>
      </c>
      <c r="C49" s="7" t="s">
        <v>38</v>
      </c>
      <c r="D49" s="10">
        <f>SUM(D46:D48)</f>
        <v>1039859</v>
      </c>
    </row>
    <row r="50" spans="1:8" x14ac:dyDescent="0.25">
      <c r="A50" s="8" t="s">
        <v>39</v>
      </c>
      <c r="B50" s="10">
        <v>0</v>
      </c>
      <c r="C50" s="7" t="s">
        <v>40</v>
      </c>
      <c r="D50" s="10">
        <f>D45+D49</f>
        <v>1039859</v>
      </c>
    </row>
    <row r="51" spans="1:8" x14ac:dyDescent="0.25">
      <c r="A51" s="7" t="s">
        <v>41</v>
      </c>
      <c r="B51" s="10">
        <f>SUM(B46:B50)</f>
        <v>573630.43905599997</v>
      </c>
      <c r="C51" s="11"/>
      <c r="D51" s="11"/>
    </row>
    <row r="52" spans="1:8" x14ac:dyDescent="0.25">
      <c r="A52" s="7" t="s">
        <v>42</v>
      </c>
      <c r="B52" s="12">
        <f>B51+B45</f>
        <v>1636230.439056</v>
      </c>
      <c r="C52" s="13"/>
      <c r="D52" s="10"/>
      <c r="H52" s="14"/>
    </row>
    <row r="53" spans="1:8" x14ac:dyDescent="0.25">
      <c r="A53" s="7" t="s">
        <v>43</v>
      </c>
      <c r="B53" s="12">
        <f>B52-D50</f>
        <v>596371.43905599997</v>
      </c>
      <c r="C53" s="13"/>
      <c r="D53" s="10"/>
      <c r="H53" s="14"/>
    </row>
    <row r="54" spans="1:8" x14ac:dyDescent="0.25">
      <c r="A54" s="7" t="s">
        <v>44</v>
      </c>
      <c r="B54" s="15"/>
      <c r="C54" s="13"/>
      <c r="D54" s="10"/>
      <c r="H54" s="14"/>
    </row>
    <row r="55" spans="1:8" x14ac:dyDescent="0.25">
      <c r="A55" s="7" t="s">
        <v>45</v>
      </c>
      <c r="B55" s="14">
        <f>D50/B52</f>
        <v>0.63552111926235277</v>
      </c>
      <c r="C55" s="9"/>
      <c r="D55" s="9"/>
      <c r="E55" s="16"/>
      <c r="H55" s="14"/>
    </row>
    <row r="56" spans="1:8" x14ac:dyDescent="0.25">
      <c r="A56" s="5" t="s">
        <v>46</v>
      </c>
      <c r="B56" s="17">
        <f>B54/B53</f>
        <v>0</v>
      </c>
      <c r="C56" s="18"/>
      <c r="D56" s="18"/>
    </row>
  </sheetData>
  <phoneticPr fontId="1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2FFA-9618-4F9F-AB58-04A481406BCE}">
  <dimension ref="A1:H60"/>
  <sheetViews>
    <sheetView workbookViewId="0">
      <selection activeCell="D10" sqref="D10"/>
    </sheetView>
  </sheetViews>
  <sheetFormatPr defaultRowHeight="15.6" x14ac:dyDescent="0.25"/>
  <cols>
    <col min="1" max="1" width="13.6640625" style="6" customWidth="1"/>
    <col min="2" max="2" width="9.88671875" style="6" customWidth="1"/>
    <col min="3" max="3" width="13.5546875" style="6" bestFit="1" customWidth="1"/>
    <col min="4" max="6" width="8.88671875" style="6"/>
    <col min="7" max="7" width="11.5546875" style="6" customWidth="1"/>
    <col min="8" max="257" width="8.88671875" style="6"/>
    <col min="258" max="258" width="9.88671875" style="6" customWidth="1"/>
    <col min="259" max="259" width="13.5546875" style="6" bestFit="1" customWidth="1"/>
    <col min="260" max="262" width="8.88671875" style="6"/>
    <col min="263" max="263" width="11.5546875" style="6" customWidth="1"/>
    <col min="264" max="513" width="8.88671875" style="6"/>
    <col min="514" max="514" width="9.88671875" style="6" customWidth="1"/>
    <col min="515" max="515" width="13.5546875" style="6" bestFit="1" customWidth="1"/>
    <col min="516" max="518" width="8.88671875" style="6"/>
    <col min="519" max="519" width="11.5546875" style="6" customWidth="1"/>
    <col min="520" max="769" width="8.88671875" style="6"/>
    <col min="770" max="770" width="9.88671875" style="6" customWidth="1"/>
    <col min="771" max="771" width="13.5546875" style="6" bestFit="1" customWidth="1"/>
    <col min="772" max="774" width="8.88671875" style="6"/>
    <col min="775" max="775" width="11.5546875" style="6" customWidth="1"/>
    <col min="776" max="1025" width="8.88671875" style="6"/>
    <col min="1026" max="1026" width="9.88671875" style="6" customWidth="1"/>
    <col min="1027" max="1027" width="13.5546875" style="6" bestFit="1" customWidth="1"/>
    <col min="1028" max="1030" width="8.88671875" style="6"/>
    <col min="1031" max="1031" width="11.5546875" style="6" customWidth="1"/>
    <col min="1032" max="1281" width="8.88671875" style="6"/>
    <col min="1282" max="1282" width="9.88671875" style="6" customWidth="1"/>
    <col min="1283" max="1283" width="13.5546875" style="6" bestFit="1" customWidth="1"/>
    <col min="1284" max="1286" width="8.88671875" style="6"/>
    <col min="1287" max="1287" width="11.5546875" style="6" customWidth="1"/>
    <col min="1288" max="1537" width="8.88671875" style="6"/>
    <col min="1538" max="1538" width="9.88671875" style="6" customWidth="1"/>
    <col min="1539" max="1539" width="13.5546875" style="6" bestFit="1" customWidth="1"/>
    <col min="1540" max="1542" width="8.88671875" style="6"/>
    <col min="1543" max="1543" width="11.5546875" style="6" customWidth="1"/>
    <col min="1544" max="1793" width="8.88671875" style="6"/>
    <col min="1794" max="1794" width="9.88671875" style="6" customWidth="1"/>
    <col min="1795" max="1795" width="13.5546875" style="6" bestFit="1" customWidth="1"/>
    <col min="1796" max="1798" width="8.88671875" style="6"/>
    <col min="1799" max="1799" width="11.5546875" style="6" customWidth="1"/>
    <col min="1800" max="2049" width="8.88671875" style="6"/>
    <col min="2050" max="2050" width="9.88671875" style="6" customWidth="1"/>
    <col min="2051" max="2051" width="13.5546875" style="6" bestFit="1" customWidth="1"/>
    <col min="2052" max="2054" width="8.88671875" style="6"/>
    <col min="2055" max="2055" width="11.5546875" style="6" customWidth="1"/>
    <col min="2056" max="2305" width="8.88671875" style="6"/>
    <col min="2306" max="2306" width="9.88671875" style="6" customWidth="1"/>
    <col min="2307" max="2307" width="13.5546875" style="6" bestFit="1" customWidth="1"/>
    <col min="2308" max="2310" width="8.88671875" style="6"/>
    <col min="2311" max="2311" width="11.5546875" style="6" customWidth="1"/>
    <col min="2312" max="2561" width="8.88671875" style="6"/>
    <col min="2562" max="2562" width="9.88671875" style="6" customWidth="1"/>
    <col min="2563" max="2563" width="13.5546875" style="6" bestFit="1" customWidth="1"/>
    <col min="2564" max="2566" width="8.88671875" style="6"/>
    <col min="2567" max="2567" width="11.5546875" style="6" customWidth="1"/>
    <col min="2568" max="2817" width="8.88671875" style="6"/>
    <col min="2818" max="2818" width="9.88671875" style="6" customWidth="1"/>
    <col min="2819" max="2819" width="13.5546875" style="6" bestFit="1" customWidth="1"/>
    <col min="2820" max="2822" width="8.88671875" style="6"/>
    <col min="2823" max="2823" width="11.5546875" style="6" customWidth="1"/>
    <col min="2824" max="3073" width="8.88671875" style="6"/>
    <col min="3074" max="3074" width="9.88671875" style="6" customWidth="1"/>
    <col min="3075" max="3075" width="13.5546875" style="6" bestFit="1" customWidth="1"/>
    <col min="3076" max="3078" width="8.88671875" style="6"/>
    <col min="3079" max="3079" width="11.5546875" style="6" customWidth="1"/>
    <col min="3080" max="3329" width="8.88671875" style="6"/>
    <col min="3330" max="3330" width="9.88671875" style="6" customWidth="1"/>
    <col min="3331" max="3331" width="13.5546875" style="6" bestFit="1" customWidth="1"/>
    <col min="3332" max="3334" width="8.88671875" style="6"/>
    <col min="3335" max="3335" width="11.5546875" style="6" customWidth="1"/>
    <col min="3336" max="3585" width="8.88671875" style="6"/>
    <col min="3586" max="3586" width="9.88671875" style="6" customWidth="1"/>
    <col min="3587" max="3587" width="13.5546875" style="6" bestFit="1" customWidth="1"/>
    <col min="3588" max="3590" width="8.88671875" style="6"/>
    <col min="3591" max="3591" width="11.5546875" style="6" customWidth="1"/>
    <col min="3592" max="3841" width="8.88671875" style="6"/>
    <col min="3842" max="3842" width="9.88671875" style="6" customWidth="1"/>
    <col min="3843" max="3843" width="13.5546875" style="6" bestFit="1" customWidth="1"/>
    <col min="3844" max="3846" width="8.88671875" style="6"/>
    <col min="3847" max="3847" width="11.5546875" style="6" customWidth="1"/>
    <col min="3848" max="4097" width="8.88671875" style="6"/>
    <col min="4098" max="4098" width="9.88671875" style="6" customWidth="1"/>
    <col min="4099" max="4099" width="13.5546875" style="6" bestFit="1" customWidth="1"/>
    <col min="4100" max="4102" width="8.88671875" style="6"/>
    <col min="4103" max="4103" width="11.5546875" style="6" customWidth="1"/>
    <col min="4104" max="4353" width="8.88671875" style="6"/>
    <col min="4354" max="4354" width="9.88671875" style="6" customWidth="1"/>
    <col min="4355" max="4355" width="13.5546875" style="6" bestFit="1" customWidth="1"/>
    <col min="4356" max="4358" width="8.88671875" style="6"/>
    <col min="4359" max="4359" width="11.5546875" style="6" customWidth="1"/>
    <col min="4360" max="4609" width="8.88671875" style="6"/>
    <col min="4610" max="4610" width="9.88671875" style="6" customWidth="1"/>
    <col min="4611" max="4611" width="13.5546875" style="6" bestFit="1" customWidth="1"/>
    <col min="4612" max="4614" width="8.88671875" style="6"/>
    <col min="4615" max="4615" width="11.5546875" style="6" customWidth="1"/>
    <col min="4616" max="4865" width="8.88671875" style="6"/>
    <col min="4866" max="4866" width="9.88671875" style="6" customWidth="1"/>
    <col min="4867" max="4867" width="13.5546875" style="6" bestFit="1" customWidth="1"/>
    <col min="4868" max="4870" width="8.88671875" style="6"/>
    <col min="4871" max="4871" width="11.5546875" style="6" customWidth="1"/>
    <col min="4872" max="5121" width="8.88671875" style="6"/>
    <col min="5122" max="5122" width="9.88671875" style="6" customWidth="1"/>
    <col min="5123" max="5123" width="13.5546875" style="6" bestFit="1" customWidth="1"/>
    <col min="5124" max="5126" width="8.88671875" style="6"/>
    <col min="5127" max="5127" width="11.5546875" style="6" customWidth="1"/>
    <col min="5128" max="5377" width="8.88671875" style="6"/>
    <col min="5378" max="5378" width="9.88671875" style="6" customWidth="1"/>
    <col min="5379" max="5379" width="13.5546875" style="6" bestFit="1" customWidth="1"/>
    <col min="5380" max="5382" width="8.88671875" style="6"/>
    <col min="5383" max="5383" width="11.5546875" style="6" customWidth="1"/>
    <col min="5384" max="5633" width="8.88671875" style="6"/>
    <col min="5634" max="5634" width="9.88671875" style="6" customWidth="1"/>
    <col min="5635" max="5635" width="13.5546875" style="6" bestFit="1" customWidth="1"/>
    <col min="5636" max="5638" width="8.88671875" style="6"/>
    <col min="5639" max="5639" width="11.5546875" style="6" customWidth="1"/>
    <col min="5640" max="5889" width="8.88671875" style="6"/>
    <col min="5890" max="5890" width="9.88671875" style="6" customWidth="1"/>
    <col min="5891" max="5891" width="13.5546875" style="6" bestFit="1" customWidth="1"/>
    <col min="5892" max="5894" width="8.88671875" style="6"/>
    <col min="5895" max="5895" width="11.5546875" style="6" customWidth="1"/>
    <col min="5896" max="6145" width="8.88671875" style="6"/>
    <col min="6146" max="6146" width="9.88671875" style="6" customWidth="1"/>
    <col min="6147" max="6147" width="13.5546875" style="6" bestFit="1" customWidth="1"/>
    <col min="6148" max="6150" width="8.88671875" style="6"/>
    <col min="6151" max="6151" width="11.5546875" style="6" customWidth="1"/>
    <col min="6152" max="6401" width="8.88671875" style="6"/>
    <col min="6402" max="6402" width="9.88671875" style="6" customWidth="1"/>
    <col min="6403" max="6403" width="13.5546875" style="6" bestFit="1" customWidth="1"/>
    <col min="6404" max="6406" width="8.88671875" style="6"/>
    <col min="6407" max="6407" width="11.5546875" style="6" customWidth="1"/>
    <col min="6408" max="6657" width="8.88671875" style="6"/>
    <col min="6658" max="6658" width="9.88671875" style="6" customWidth="1"/>
    <col min="6659" max="6659" width="13.5546875" style="6" bestFit="1" customWidth="1"/>
    <col min="6660" max="6662" width="8.88671875" style="6"/>
    <col min="6663" max="6663" width="11.5546875" style="6" customWidth="1"/>
    <col min="6664" max="6913" width="8.88671875" style="6"/>
    <col min="6914" max="6914" width="9.88671875" style="6" customWidth="1"/>
    <col min="6915" max="6915" width="13.5546875" style="6" bestFit="1" customWidth="1"/>
    <col min="6916" max="6918" width="8.88671875" style="6"/>
    <col min="6919" max="6919" width="11.5546875" style="6" customWidth="1"/>
    <col min="6920" max="7169" width="8.88671875" style="6"/>
    <col min="7170" max="7170" width="9.88671875" style="6" customWidth="1"/>
    <col min="7171" max="7171" width="13.5546875" style="6" bestFit="1" customWidth="1"/>
    <col min="7172" max="7174" width="8.88671875" style="6"/>
    <col min="7175" max="7175" width="11.5546875" style="6" customWidth="1"/>
    <col min="7176" max="7425" width="8.88671875" style="6"/>
    <col min="7426" max="7426" width="9.88671875" style="6" customWidth="1"/>
    <col min="7427" max="7427" width="13.5546875" style="6" bestFit="1" customWidth="1"/>
    <col min="7428" max="7430" width="8.88671875" style="6"/>
    <col min="7431" max="7431" width="11.5546875" style="6" customWidth="1"/>
    <col min="7432" max="7681" width="8.88671875" style="6"/>
    <col min="7682" max="7682" width="9.88671875" style="6" customWidth="1"/>
    <col min="7683" max="7683" width="13.5546875" style="6" bestFit="1" customWidth="1"/>
    <col min="7684" max="7686" width="8.88671875" style="6"/>
    <col min="7687" max="7687" width="11.5546875" style="6" customWidth="1"/>
    <col min="7688" max="7937" width="8.88671875" style="6"/>
    <col min="7938" max="7938" width="9.88671875" style="6" customWidth="1"/>
    <col min="7939" max="7939" width="13.5546875" style="6" bestFit="1" customWidth="1"/>
    <col min="7940" max="7942" width="8.88671875" style="6"/>
    <col min="7943" max="7943" width="11.5546875" style="6" customWidth="1"/>
    <col min="7944" max="8193" width="8.88671875" style="6"/>
    <col min="8194" max="8194" width="9.88671875" style="6" customWidth="1"/>
    <col min="8195" max="8195" width="13.5546875" style="6" bestFit="1" customWidth="1"/>
    <col min="8196" max="8198" width="8.88671875" style="6"/>
    <col min="8199" max="8199" width="11.5546875" style="6" customWidth="1"/>
    <col min="8200" max="8449" width="8.88671875" style="6"/>
    <col min="8450" max="8450" width="9.88671875" style="6" customWidth="1"/>
    <col min="8451" max="8451" width="13.5546875" style="6" bestFit="1" customWidth="1"/>
    <col min="8452" max="8454" width="8.88671875" style="6"/>
    <col min="8455" max="8455" width="11.5546875" style="6" customWidth="1"/>
    <col min="8456" max="8705" width="8.88671875" style="6"/>
    <col min="8706" max="8706" width="9.88671875" style="6" customWidth="1"/>
    <col min="8707" max="8707" width="13.5546875" style="6" bestFit="1" customWidth="1"/>
    <col min="8708" max="8710" width="8.88671875" style="6"/>
    <col min="8711" max="8711" width="11.5546875" style="6" customWidth="1"/>
    <col min="8712" max="8961" width="8.88671875" style="6"/>
    <col min="8962" max="8962" width="9.88671875" style="6" customWidth="1"/>
    <col min="8963" max="8963" width="13.5546875" style="6" bestFit="1" customWidth="1"/>
    <col min="8964" max="8966" width="8.88671875" style="6"/>
    <col min="8967" max="8967" width="11.5546875" style="6" customWidth="1"/>
    <col min="8968" max="9217" width="8.88671875" style="6"/>
    <col min="9218" max="9218" width="9.88671875" style="6" customWidth="1"/>
    <col min="9219" max="9219" width="13.5546875" style="6" bestFit="1" customWidth="1"/>
    <col min="9220" max="9222" width="8.88671875" style="6"/>
    <col min="9223" max="9223" width="11.5546875" style="6" customWidth="1"/>
    <col min="9224" max="9473" width="8.88671875" style="6"/>
    <col min="9474" max="9474" width="9.88671875" style="6" customWidth="1"/>
    <col min="9475" max="9475" width="13.5546875" style="6" bestFit="1" customWidth="1"/>
    <col min="9476" max="9478" width="8.88671875" style="6"/>
    <col min="9479" max="9479" width="11.5546875" style="6" customWidth="1"/>
    <col min="9480" max="9729" width="8.88671875" style="6"/>
    <col min="9730" max="9730" width="9.88671875" style="6" customWidth="1"/>
    <col min="9731" max="9731" width="13.5546875" style="6" bestFit="1" customWidth="1"/>
    <col min="9732" max="9734" width="8.88671875" style="6"/>
    <col min="9735" max="9735" width="11.5546875" style="6" customWidth="1"/>
    <col min="9736" max="9985" width="8.88671875" style="6"/>
    <col min="9986" max="9986" width="9.88671875" style="6" customWidth="1"/>
    <col min="9987" max="9987" width="13.5546875" style="6" bestFit="1" customWidth="1"/>
    <col min="9988" max="9990" width="8.88671875" style="6"/>
    <col min="9991" max="9991" width="11.5546875" style="6" customWidth="1"/>
    <col min="9992" max="10241" width="8.88671875" style="6"/>
    <col min="10242" max="10242" width="9.88671875" style="6" customWidth="1"/>
    <col min="10243" max="10243" width="13.5546875" style="6" bestFit="1" customWidth="1"/>
    <col min="10244" max="10246" width="8.88671875" style="6"/>
    <col min="10247" max="10247" width="11.5546875" style="6" customWidth="1"/>
    <col min="10248" max="10497" width="8.88671875" style="6"/>
    <col min="10498" max="10498" width="9.88671875" style="6" customWidth="1"/>
    <col min="10499" max="10499" width="13.5546875" style="6" bestFit="1" customWidth="1"/>
    <col min="10500" max="10502" width="8.88671875" style="6"/>
    <col min="10503" max="10503" width="11.5546875" style="6" customWidth="1"/>
    <col min="10504" max="10753" width="8.88671875" style="6"/>
    <col min="10754" max="10754" width="9.88671875" style="6" customWidth="1"/>
    <col min="10755" max="10755" width="13.5546875" style="6" bestFit="1" customWidth="1"/>
    <col min="10756" max="10758" width="8.88671875" style="6"/>
    <col min="10759" max="10759" width="11.5546875" style="6" customWidth="1"/>
    <col min="10760" max="11009" width="8.88671875" style="6"/>
    <col min="11010" max="11010" width="9.88671875" style="6" customWidth="1"/>
    <col min="11011" max="11011" width="13.5546875" style="6" bestFit="1" customWidth="1"/>
    <col min="11012" max="11014" width="8.88671875" style="6"/>
    <col min="11015" max="11015" width="11.5546875" style="6" customWidth="1"/>
    <col min="11016" max="11265" width="8.88671875" style="6"/>
    <col min="11266" max="11266" width="9.88671875" style="6" customWidth="1"/>
    <col min="11267" max="11267" width="13.5546875" style="6" bestFit="1" customWidth="1"/>
    <col min="11268" max="11270" width="8.88671875" style="6"/>
    <col min="11271" max="11271" width="11.5546875" style="6" customWidth="1"/>
    <col min="11272" max="11521" width="8.88671875" style="6"/>
    <col min="11522" max="11522" width="9.88671875" style="6" customWidth="1"/>
    <col min="11523" max="11523" width="13.5546875" style="6" bestFit="1" customWidth="1"/>
    <col min="11524" max="11526" width="8.88671875" style="6"/>
    <col min="11527" max="11527" width="11.5546875" style="6" customWidth="1"/>
    <col min="11528" max="11777" width="8.88671875" style="6"/>
    <col min="11778" max="11778" width="9.88671875" style="6" customWidth="1"/>
    <col min="11779" max="11779" width="13.5546875" style="6" bestFit="1" customWidth="1"/>
    <col min="11780" max="11782" width="8.88671875" style="6"/>
    <col min="11783" max="11783" width="11.5546875" style="6" customWidth="1"/>
    <col min="11784" max="12033" width="8.88671875" style="6"/>
    <col min="12034" max="12034" width="9.88671875" style="6" customWidth="1"/>
    <col min="12035" max="12035" width="13.5546875" style="6" bestFit="1" customWidth="1"/>
    <col min="12036" max="12038" width="8.88671875" style="6"/>
    <col min="12039" max="12039" width="11.5546875" style="6" customWidth="1"/>
    <col min="12040" max="12289" width="8.88671875" style="6"/>
    <col min="12290" max="12290" width="9.88671875" style="6" customWidth="1"/>
    <col min="12291" max="12291" width="13.5546875" style="6" bestFit="1" customWidth="1"/>
    <col min="12292" max="12294" width="8.88671875" style="6"/>
    <col min="12295" max="12295" width="11.5546875" style="6" customWidth="1"/>
    <col min="12296" max="12545" width="8.88671875" style="6"/>
    <col min="12546" max="12546" width="9.88671875" style="6" customWidth="1"/>
    <col min="12547" max="12547" width="13.5546875" style="6" bestFit="1" customWidth="1"/>
    <col min="12548" max="12550" width="8.88671875" style="6"/>
    <col min="12551" max="12551" width="11.5546875" style="6" customWidth="1"/>
    <col min="12552" max="12801" width="8.88671875" style="6"/>
    <col min="12802" max="12802" width="9.88671875" style="6" customWidth="1"/>
    <col min="12803" max="12803" width="13.5546875" style="6" bestFit="1" customWidth="1"/>
    <col min="12804" max="12806" width="8.88671875" style="6"/>
    <col min="12807" max="12807" width="11.5546875" style="6" customWidth="1"/>
    <col min="12808" max="13057" width="8.88671875" style="6"/>
    <col min="13058" max="13058" width="9.88671875" style="6" customWidth="1"/>
    <col min="13059" max="13059" width="13.5546875" style="6" bestFit="1" customWidth="1"/>
    <col min="13060" max="13062" width="8.88671875" style="6"/>
    <col min="13063" max="13063" width="11.5546875" style="6" customWidth="1"/>
    <col min="13064" max="13313" width="8.88671875" style="6"/>
    <col min="13314" max="13314" width="9.88671875" style="6" customWidth="1"/>
    <col min="13315" max="13315" width="13.5546875" style="6" bestFit="1" customWidth="1"/>
    <col min="13316" max="13318" width="8.88671875" style="6"/>
    <col min="13319" max="13319" width="11.5546875" style="6" customWidth="1"/>
    <col min="13320" max="13569" width="8.88671875" style="6"/>
    <col min="13570" max="13570" width="9.88671875" style="6" customWidth="1"/>
    <col min="13571" max="13571" width="13.5546875" style="6" bestFit="1" customWidth="1"/>
    <col min="13572" max="13574" width="8.88671875" style="6"/>
    <col min="13575" max="13575" width="11.5546875" style="6" customWidth="1"/>
    <col min="13576" max="13825" width="8.88671875" style="6"/>
    <col min="13826" max="13826" width="9.88671875" style="6" customWidth="1"/>
    <col min="13827" max="13827" width="13.5546875" style="6" bestFit="1" customWidth="1"/>
    <col min="13828" max="13830" width="8.88671875" style="6"/>
    <col min="13831" max="13831" width="11.5546875" style="6" customWidth="1"/>
    <col min="13832" max="14081" width="8.88671875" style="6"/>
    <col min="14082" max="14082" width="9.88671875" style="6" customWidth="1"/>
    <col min="14083" max="14083" width="13.5546875" style="6" bestFit="1" customWidth="1"/>
    <col min="14084" max="14086" width="8.88671875" style="6"/>
    <col min="14087" max="14087" width="11.5546875" style="6" customWidth="1"/>
    <col min="14088" max="14337" width="8.88671875" style="6"/>
    <col min="14338" max="14338" width="9.88671875" style="6" customWidth="1"/>
    <col min="14339" max="14339" width="13.5546875" style="6" bestFit="1" customWidth="1"/>
    <col min="14340" max="14342" width="8.88671875" style="6"/>
    <col min="14343" max="14343" width="11.5546875" style="6" customWidth="1"/>
    <col min="14344" max="14593" width="8.88671875" style="6"/>
    <col min="14594" max="14594" width="9.88671875" style="6" customWidth="1"/>
    <col min="14595" max="14595" width="13.5546875" style="6" bestFit="1" customWidth="1"/>
    <col min="14596" max="14598" width="8.88671875" style="6"/>
    <col min="14599" max="14599" width="11.5546875" style="6" customWidth="1"/>
    <col min="14600" max="14849" width="8.88671875" style="6"/>
    <col min="14850" max="14850" width="9.88671875" style="6" customWidth="1"/>
    <col min="14851" max="14851" width="13.5546875" style="6" bestFit="1" customWidth="1"/>
    <col min="14852" max="14854" width="8.88671875" style="6"/>
    <col min="14855" max="14855" width="11.5546875" style="6" customWidth="1"/>
    <col min="14856" max="15105" width="8.88671875" style="6"/>
    <col min="15106" max="15106" width="9.88671875" style="6" customWidth="1"/>
    <col min="15107" max="15107" width="13.5546875" style="6" bestFit="1" customWidth="1"/>
    <col min="15108" max="15110" width="8.88671875" style="6"/>
    <col min="15111" max="15111" width="11.5546875" style="6" customWidth="1"/>
    <col min="15112" max="15361" width="8.88671875" style="6"/>
    <col min="15362" max="15362" width="9.88671875" style="6" customWidth="1"/>
    <col min="15363" max="15363" width="13.5546875" style="6" bestFit="1" customWidth="1"/>
    <col min="15364" max="15366" width="8.88671875" style="6"/>
    <col min="15367" max="15367" width="11.5546875" style="6" customWidth="1"/>
    <col min="15368" max="15617" width="8.88671875" style="6"/>
    <col min="15618" max="15618" width="9.88671875" style="6" customWidth="1"/>
    <col min="15619" max="15619" width="13.5546875" style="6" bestFit="1" customWidth="1"/>
    <col min="15620" max="15622" width="8.88671875" style="6"/>
    <col min="15623" max="15623" width="11.5546875" style="6" customWidth="1"/>
    <col min="15624" max="15873" width="8.88671875" style="6"/>
    <col min="15874" max="15874" width="9.88671875" style="6" customWidth="1"/>
    <col min="15875" max="15875" width="13.5546875" style="6" bestFit="1" customWidth="1"/>
    <col min="15876" max="15878" width="8.88671875" style="6"/>
    <col min="15879" max="15879" width="11.5546875" style="6" customWidth="1"/>
    <col min="15880" max="16129" width="8.88671875" style="6"/>
    <col min="16130" max="16130" width="9.88671875" style="6" customWidth="1"/>
    <col min="16131" max="16131" width="13.5546875" style="6" bestFit="1" customWidth="1"/>
    <col min="16132" max="16134" width="8.88671875" style="6"/>
    <col min="16135" max="16135" width="11.5546875" style="6" customWidth="1"/>
    <col min="16136" max="16384" width="8.88671875" style="6"/>
  </cols>
  <sheetData>
    <row r="1" spans="1:8" x14ac:dyDescent="0.25">
      <c r="A1" s="5" t="s">
        <v>50</v>
      </c>
    </row>
    <row r="2" spans="1:8" x14ac:dyDescent="0.25">
      <c r="A2" s="7" t="s">
        <v>18</v>
      </c>
      <c r="B2" s="7" t="s">
        <v>19</v>
      </c>
      <c r="C2" s="7" t="s">
        <v>20</v>
      </c>
      <c r="D2" s="7" t="s">
        <v>19</v>
      </c>
    </row>
    <row r="3" spans="1:8" x14ac:dyDescent="0.25">
      <c r="A3" s="8" t="s">
        <v>21</v>
      </c>
      <c r="B3" s="9">
        <v>0</v>
      </c>
      <c r="C3" s="8" t="s">
        <v>22</v>
      </c>
      <c r="D3" s="9">
        <v>0</v>
      </c>
    </row>
    <row r="4" spans="1:8" x14ac:dyDescent="0.25">
      <c r="A4" s="8" t="s">
        <v>23</v>
      </c>
      <c r="B4" s="9">
        <v>0</v>
      </c>
      <c r="C4" s="8" t="s">
        <v>24</v>
      </c>
      <c r="D4" s="9">
        <v>0</v>
      </c>
    </row>
    <row r="5" spans="1:8" x14ac:dyDescent="0.25">
      <c r="A5" s="8" t="s">
        <v>25</v>
      </c>
      <c r="B5" s="9">
        <v>0</v>
      </c>
      <c r="C5" s="8" t="s">
        <v>26</v>
      </c>
      <c r="D5" s="9">
        <v>0</v>
      </c>
    </row>
    <row r="6" spans="1:8" x14ac:dyDescent="0.25">
      <c r="A6" s="8" t="s">
        <v>27</v>
      </c>
      <c r="B6" s="10">
        <f>2500+100</f>
        <v>2600</v>
      </c>
      <c r="C6" s="8" t="s">
        <v>28</v>
      </c>
      <c r="D6" s="9">
        <v>0</v>
      </c>
    </row>
    <row r="7" spans="1:8" x14ac:dyDescent="0.25">
      <c r="A7" s="7" t="s">
        <v>29</v>
      </c>
      <c r="B7" s="10">
        <f>SUM(B3:B6)</f>
        <v>2600</v>
      </c>
      <c r="C7" s="7" t="s">
        <v>30</v>
      </c>
      <c r="D7" s="9">
        <v>0</v>
      </c>
      <c r="E7" s="7"/>
    </row>
    <row r="8" spans="1:8" x14ac:dyDescent="0.25">
      <c r="A8" s="8" t="s">
        <v>31</v>
      </c>
      <c r="B8" s="10">
        <f>800.17*6.8768+3541.22+56+700</f>
        <v>9799.8290560000005</v>
      </c>
      <c r="C8" s="8" t="s">
        <v>32</v>
      </c>
      <c r="D8" s="9">
        <v>0</v>
      </c>
    </row>
    <row r="9" spans="1:8" x14ac:dyDescent="0.25">
      <c r="A9" s="8" t="s">
        <v>33</v>
      </c>
      <c r="B9" s="10">
        <f>302960</f>
        <v>302960</v>
      </c>
      <c r="C9" s="8" t="s">
        <v>34</v>
      </c>
      <c r="D9" s="9">
        <v>0</v>
      </c>
      <c r="E9" s="6">
        <f>B9/B14</f>
        <v>0.26663605337989754</v>
      </c>
    </row>
    <row r="10" spans="1:8" x14ac:dyDescent="0.25">
      <c r="A10" s="8" t="s">
        <v>35</v>
      </c>
      <c r="B10" s="10">
        <f>701222.58+66621.22+920.26</f>
        <v>768764.05999999994</v>
      </c>
      <c r="C10" s="8" t="s">
        <v>36</v>
      </c>
      <c r="D10" s="10">
        <f>40000+36800-15-45626+5000+44000-10000+100000+130000+100000+139700</f>
        <v>539859</v>
      </c>
      <c r="E10" s="7"/>
    </row>
    <row r="11" spans="1:8" x14ac:dyDescent="0.25">
      <c r="A11" s="8" t="s">
        <v>37</v>
      </c>
      <c r="B11" s="10">
        <v>52106.55</v>
      </c>
      <c r="C11" s="7" t="s">
        <v>38</v>
      </c>
      <c r="D11" s="10">
        <f>SUM(D8:D10)</f>
        <v>539859</v>
      </c>
    </row>
    <row r="12" spans="1:8" x14ac:dyDescent="0.25">
      <c r="A12" s="8" t="s">
        <v>39</v>
      </c>
      <c r="B12" s="10">
        <v>0</v>
      </c>
      <c r="C12" s="7" t="s">
        <v>40</v>
      </c>
      <c r="D12" s="10">
        <f>D7+D11</f>
        <v>539859</v>
      </c>
    </row>
    <row r="13" spans="1:8" ht="16.2" thickBot="1" x14ac:dyDescent="0.3">
      <c r="A13" s="7" t="s">
        <v>41</v>
      </c>
      <c r="B13" s="10">
        <f>SUM(B8:B12)</f>
        <v>1133630.439056</v>
      </c>
      <c r="C13" s="11"/>
      <c r="D13" s="11"/>
    </row>
    <row r="14" spans="1:8" ht="16.2" thickBot="1" x14ac:dyDescent="0.3">
      <c r="A14" s="7" t="s">
        <v>42</v>
      </c>
      <c r="B14" s="12">
        <f>B13+B7</f>
        <v>1136230.439056</v>
      </c>
      <c r="C14" s="13"/>
      <c r="D14" s="10"/>
      <c r="G14" s="19">
        <v>302960</v>
      </c>
      <c r="H14" s="14">
        <f>G14/$G$17</f>
        <v>0.28012323351123047</v>
      </c>
    </row>
    <row r="15" spans="1:8" ht="16.2" thickBot="1" x14ac:dyDescent="0.3">
      <c r="A15" s="7" t="s">
        <v>43</v>
      </c>
      <c r="B15" s="12">
        <f>B14-D12</f>
        <v>596371.43905599997</v>
      </c>
      <c r="C15" s="13"/>
      <c r="D15" s="10"/>
      <c r="G15" s="20">
        <v>768764</v>
      </c>
      <c r="H15" s="14">
        <f>G15/$G$17</f>
        <v>0.71081547889829533</v>
      </c>
    </row>
    <row r="16" spans="1:8" ht="16.2" thickBot="1" x14ac:dyDescent="0.3">
      <c r="A16" s="7" t="s">
        <v>44</v>
      </c>
      <c r="B16" s="15">
        <f>B15-'[2]2015年度'!B15</f>
        <v>192386.51905600005</v>
      </c>
      <c r="C16" s="13"/>
      <c r="D16" s="10"/>
      <c r="G16" s="20">
        <v>9800</v>
      </c>
      <c r="H16" s="14">
        <f>G16/$G$17</f>
        <v>9.0612875904741829E-3</v>
      </c>
    </row>
    <row r="17" spans="1:8" x14ac:dyDescent="0.25">
      <c r="A17" s="7" t="s">
        <v>45</v>
      </c>
      <c r="B17" s="14">
        <f>D12/B14</f>
        <v>0.47513161190130082</v>
      </c>
      <c r="C17" s="9"/>
      <c r="D17" s="9"/>
      <c r="E17" s="16"/>
      <c r="G17" s="21">
        <f>SUM(G14:G16)</f>
        <v>1081524</v>
      </c>
      <c r="H17" s="14">
        <f>G17/$G$17</f>
        <v>1</v>
      </c>
    </row>
    <row r="18" spans="1:8" x14ac:dyDescent="0.25">
      <c r="A18" s="5" t="s">
        <v>46</v>
      </c>
      <c r="B18" s="17">
        <f>B16/B15</f>
        <v>0.32259512521345735</v>
      </c>
      <c r="C18" s="18"/>
      <c r="D18" s="18"/>
    </row>
    <row r="19" spans="1:8" x14ac:dyDescent="0.25">
      <c r="A19" s="5"/>
      <c r="B19" s="17"/>
      <c r="C19" s="18"/>
      <c r="D19" s="18"/>
    </row>
    <row r="20" spans="1:8" x14ac:dyDescent="0.25">
      <c r="A20" s="7" t="s">
        <v>51</v>
      </c>
    </row>
    <row r="21" spans="1:8" x14ac:dyDescent="0.25">
      <c r="A21" s="7"/>
    </row>
    <row r="22" spans="1:8" x14ac:dyDescent="0.25">
      <c r="A22" s="7"/>
    </row>
    <row r="24" spans="1:8" x14ac:dyDescent="0.25">
      <c r="A24" s="5" t="s">
        <v>52</v>
      </c>
    </row>
    <row r="25" spans="1:8" x14ac:dyDescent="0.25">
      <c r="A25" s="7" t="s">
        <v>18</v>
      </c>
      <c r="B25" s="7" t="s">
        <v>19</v>
      </c>
      <c r="C25" s="7" t="s">
        <v>20</v>
      </c>
      <c r="D25" s="7" t="s">
        <v>19</v>
      </c>
    </row>
    <row r="26" spans="1:8" x14ac:dyDescent="0.25">
      <c r="A26" s="8" t="s">
        <v>21</v>
      </c>
      <c r="B26" s="9">
        <v>0</v>
      </c>
      <c r="C26" s="8" t="s">
        <v>22</v>
      </c>
      <c r="D26" s="9">
        <v>0</v>
      </c>
    </row>
    <row r="27" spans="1:8" x14ac:dyDescent="0.25">
      <c r="A27" s="8" t="s">
        <v>23</v>
      </c>
      <c r="B27" s="9">
        <v>0</v>
      </c>
      <c r="C27" s="8" t="s">
        <v>24</v>
      </c>
      <c r="D27" s="9">
        <v>0</v>
      </c>
    </row>
    <row r="28" spans="1:8" x14ac:dyDescent="0.25">
      <c r="A28" s="8" t="s">
        <v>25</v>
      </c>
      <c r="B28" s="9">
        <v>0</v>
      </c>
      <c r="C28" s="8" t="s">
        <v>26</v>
      </c>
      <c r="D28" s="9">
        <v>0</v>
      </c>
    </row>
    <row r="29" spans="1:8" x14ac:dyDescent="0.25">
      <c r="A29" s="8" t="s">
        <v>27</v>
      </c>
      <c r="B29" s="10">
        <f>2500+100</f>
        <v>2600</v>
      </c>
      <c r="C29" s="8" t="s">
        <v>28</v>
      </c>
      <c r="D29" s="9">
        <v>0</v>
      </c>
    </row>
    <row r="30" spans="1:8" x14ac:dyDescent="0.25">
      <c r="A30" s="7" t="s">
        <v>29</v>
      </c>
      <c r="B30" s="10">
        <f>SUM(B26:B29)</f>
        <v>2600</v>
      </c>
      <c r="C30" s="7" t="s">
        <v>30</v>
      </c>
      <c r="D30" s="9">
        <v>0</v>
      </c>
      <c r="E30" s="7"/>
    </row>
    <row r="31" spans="1:8" x14ac:dyDescent="0.25">
      <c r="A31" s="8" t="s">
        <v>31</v>
      </c>
      <c r="B31" s="10">
        <f>0+16022.17+56+250</f>
        <v>16328.17</v>
      </c>
      <c r="C31" s="8" t="s">
        <v>32</v>
      </c>
      <c r="D31" s="9">
        <v>0</v>
      </c>
    </row>
    <row r="32" spans="1:8" x14ac:dyDescent="0.25">
      <c r="A32" s="8" t="s">
        <v>33</v>
      </c>
      <c r="B32" s="10">
        <f>309930</f>
        <v>309930</v>
      </c>
      <c r="C32" s="8" t="s">
        <v>34</v>
      </c>
      <c r="D32" s="9">
        <v>0</v>
      </c>
      <c r="E32" s="6">
        <f>B32/B37</f>
        <v>0.28361993438993238</v>
      </c>
    </row>
    <row r="33" spans="1:5" x14ac:dyDescent="0.25">
      <c r="A33" s="8" t="s">
        <v>35</v>
      </c>
      <c r="B33" s="10">
        <f>652265.33+65876.95+0.22</f>
        <v>718142.49999999988</v>
      </c>
      <c r="C33" s="8" t="s">
        <v>36</v>
      </c>
      <c r="D33" s="10">
        <f>40000+36800-15-45626+5000+44000-10000+100000+130000+100000+139700</f>
        <v>539859</v>
      </c>
      <c r="E33" s="7"/>
    </row>
    <row r="34" spans="1:5" x14ac:dyDescent="0.25">
      <c r="A34" s="8" t="s">
        <v>37</v>
      </c>
      <c r="B34" s="10">
        <v>45764.55</v>
      </c>
      <c r="C34" s="7" t="s">
        <v>38</v>
      </c>
      <c r="D34" s="10">
        <f>SUM(D31:D33)</f>
        <v>539859</v>
      </c>
    </row>
    <row r="35" spans="1:5" x14ac:dyDescent="0.25">
      <c r="A35" s="8" t="s">
        <v>39</v>
      </c>
      <c r="B35" s="10">
        <v>0</v>
      </c>
      <c r="C35" s="7" t="s">
        <v>40</v>
      </c>
      <c r="D35" s="10">
        <f>D30+D34</f>
        <v>539859</v>
      </c>
    </row>
    <row r="36" spans="1:5" x14ac:dyDescent="0.25">
      <c r="A36" s="7" t="s">
        <v>41</v>
      </c>
      <c r="B36" s="10">
        <f>SUM(B31:B35)</f>
        <v>1090165.22</v>
      </c>
      <c r="C36" s="11"/>
      <c r="D36" s="11"/>
    </row>
    <row r="37" spans="1:5" x14ac:dyDescent="0.25">
      <c r="A37" s="7" t="s">
        <v>42</v>
      </c>
      <c r="B37" s="12">
        <f>B36+B30</f>
        <v>1092765.22</v>
      </c>
      <c r="C37" s="13"/>
      <c r="D37" s="10"/>
    </row>
    <row r="38" spans="1:5" x14ac:dyDescent="0.25">
      <c r="A38" s="7" t="s">
        <v>43</v>
      </c>
      <c r="B38" s="12">
        <f>B37-D35</f>
        <v>552906.22</v>
      </c>
      <c r="C38" s="12"/>
      <c r="D38" s="10"/>
    </row>
    <row r="39" spans="1:5" x14ac:dyDescent="0.25">
      <c r="A39" s="7" t="s">
        <v>44</v>
      </c>
      <c r="B39" s="15">
        <f>120000</f>
        <v>120000</v>
      </c>
      <c r="C39" s="13"/>
      <c r="D39" s="10"/>
    </row>
    <row r="40" spans="1:5" x14ac:dyDescent="0.25">
      <c r="A40" s="7" t="s">
        <v>45</v>
      </c>
      <c r="B40" s="14">
        <f>D35/B37</f>
        <v>0.49403018152426192</v>
      </c>
      <c r="C40" s="9"/>
      <c r="D40" s="9"/>
      <c r="E40" s="16"/>
    </row>
    <row r="41" spans="1:5" x14ac:dyDescent="0.25">
      <c r="A41" s="5" t="s">
        <v>46</v>
      </c>
      <c r="B41" s="17">
        <f>B39/B38</f>
        <v>0.21703499736356738</v>
      </c>
      <c r="C41" s="18"/>
      <c r="D41" s="18"/>
    </row>
    <row r="43" spans="1:5" x14ac:dyDescent="0.25">
      <c r="A43" s="5" t="s">
        <v>53</v>
      </c>
    </row>
    <row r="44" spans="1:5" x14ac:dyDescent="0.25">
      <c r="A44" s="7" t="s">
        <v>18</v>
      </c>
      <c r="B44" s="7" t="s">
        <v>19</v>
      </c>
      <c r="C44" s="7" t="s">
        <v>20</v>
      </c>
      <c r="D44" s="7" t="s">
        <v>19</v>
      </c>
    </row>
    <row r="45" spans="1:5" x14ac:dyDescent="0.25">
      <c r="A45" s="8" t="s">
        <v>21</v>
      </c>
      <c r="B45" s="9">
        <v>0</v>
      </c>
      <c r="C45" s="8" t="s">
        <v>22</v>
      </c>
      <c r="D45" s="9">
        <v>0</v>
      </c>
    </row>
    <row r="46" spans="1:5" x14ac:dyDescent="0.25">
      <c r="A46" s="8" t="s">
        <v>23</v>
      </c>
      <c r="B46" s="9">
        <v>0</v>
      </c>
      <c r="C46" s="8" t="s">
        <v>24</v>
      </c>
      <c r="D46" s="9">
        <v>0</v>
      </c>
    </row>
    <row r="47" spans="1:5" x14ac:dyDescent="0.25">
      <c r="A47" s="8" t="s">
        <v>25</v>
      </c>
      <c r="B47" s="9">
        <v>0</v>
      </c>
      <c r="C47" s="8" t="s">
        <v>26</v>
      </c>
      <c r="D47" s="9">
        <v>0</v>
      </c>
    </row>
    <row r="48" spans="1:5" x14ac:dyDescent="0.25">
      <c r="A48" s="8" t="s">
        <v>27</v>
      </c>
      <c r="B48" s="10">
        <f>2500+100</f>
        <v>2600</v>
      </c>
      <c r="C48" s="8" t="s">
        <v>28</v>
      </c>
      <c r="D48" s="9">
        <v>0</v>
      </c>
    </row>
    <row r="49" spans="1:5" x14ac:dyDescent="0.25">
      <c r="A49" s="7" t="s">
        <v>29</v>
      </c>
      <c r="B49" s="10">
        <f>SUM(B45:B48)</f>
        <v>2600</v>
      </c>
      <c r="C49" s="7" t="s">
        <v>30</v>
      </c>
      <c r="D49" s="9">
        <v>0</v>
      </c>
      <c r="E49" s="7"/>
    </row>
    <row r="50" spans="1:5" x14ac:dyDescent="0.25">
      <c r="A50" s="8" t="s">
        <v>31</v>
      </c>
      <c r="B50" s="10">
        <f>6029.8+3400.16+56+1100</f>
        <v>10585.96</v>
      </c>
      <c r="C50" s="8" t="s">
        <v>32</v>
      </c>
      <c r="D50" s="9">
        <v>0</v>
      </c>
    </row>
    <row r="51" spans="1:5" x14ac:dyDescent="0.25">
      <c r="A51" s="8" t="s">
        <v>33</v>
      </c>
      <c r="B51" s="10">
        <f>307449</f>
        <v>307449</v>
      </c>
      <c r="C51" s="8" t="s">
        <v>34</v>
      </c>
      <c r="D51" s="9">
        <v>0</v>
      </c>
      <c r="E51" s="6">
        <f>B51/B56</f>
        <v>0.33482052064308354</v>
      </c>
    </row>
    <row r="52" spans="1:5" x14ac:dyDescent="0.25">
      <c r="A52" s="8" t="s">
        <v>35</v>
      </c>
      <c r="B52" s="10">
        <f>492580.17+60000+3523.86</f>
        <v>556104.02999999991</v>
      </c>
      <c r="C52" s="8" t="s">
        <v>36</v>
      </c>
      <c r="D52" s="10">
        <f>40000+36800-15-45626+5000+44000-10000+100000+130000+100000</f>
        <v>400159</v>
      </c>
      <c r="E52" s="7"/>
    </row>
    <row r="53" spans="1:5" x14ac:dyDescent="0.25">
      <c r="A53" s="8" t="s">
        <v>37</v>
      </c>
      <c r="B53" s="10">
        <v>41511.18</v>
      </c>
      <c r="C53" s="7" t="s">
        <v>38</v>
      </c>
      <c r="D53" s="10">
        <f>SUM(D50:D52)</f>
        <v>400159</v>
      </c>
    </row>
    <row r="54" spans="1:5" x14ac:dyDescent="0.25">
      <c r="A54" s="8" t="s">
        <v>39</v>
      </c>
      <c r="B54" s="10">
        <v>0</v>
      </c>
      <c r="C54" s="7" t="s">
        <v>40</v>
      </c>
      <c r="D54" s="10">
        <f>D49+D53</f>
        <v>400159</v>
      </c>
    </row>
    <row r="55" spans="1:5" x14ac:dyDescent="0.25">
      <c r="A55" s="7" t="s">
        <v>41</v>
      </c>
      <c r="B55" s="10">
        <f>SUM(B50:B54)</f>
        <v>915650.17</v>
      </c>
      <c r="C55" s="11"/>
      <c r="D55" s="11"/>
    </row>
    <row r="56" spans="1:5" x14ac:dyDescent="0.25">
      <c r="A56" s="7" t="s">
        <v>42</v>
      </c>
      <c r="B56" s="12">
        <f>B55+B49</f>
        <v>918250.17</v>
      </c>
      <c r="C56" s="13"/>
      <c r="D56" s="10"/>
    </row>
    <row r="57" spans="1:5" x14ac:dyDescent="0.25">
      <c r="A57" s="7" t="s">
        <v>43</v>
      </c>
      <c r="B57" s="12">
        <f>B56-D54</f>
        <v>518091.17000000004</v>
      </c>
      <c r="C57" s="13"/>
      <c r="D57" s="10"/>
    </row>
    <row r="58" spans="1:5" x14ac:dyDescent="0.25">
      <c r="A58" s="7" t="s">
        <v>44</v>
      </c>
      <c r="B58" s="15">
        <f>120000</f>
        <v>120000</v>
      </c>
      <c r="C58" s="13"/>
      <c r="D58" s="10"/>
    </row>
    <row r="59" spans="1:5" x14ac:dyDescent="0.25">
      <c r="A59" s="7" t="s">
        <v>45</v>
      </c>
      <c r="B59" s="14">
        <f>D54/B56</f>
        <v>0.4357842917687671</v>
      </c>
      <c r="C59" s="9"/>
      <c r="D59" s="9"/>
      <c r="E59" s="16"/>
    </row>
    <row r="60" spans="1:5" x14ac:dyDescent="0.25">
      <c r="A60" s="5" t="s">
        <v>46</v>
      </c>
      <c r="B60" s="17">
        <f>B58/B57</f>
        <v>0.23161946573997774</v>
      </c>
      <c r="C60" s="18"/>
      <c r="D60" s="18"/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97A6C-74E8-42A4-8F5F-78010808E7A6}">
  <dimension ref="A1:G37"/>
  <sheetViews>
    <sheetView topLeftCell="A19" workbookViewId="0">
      <selection activeCell="D10" sqref="D10"/>
    </sheetView>
  </sheetViews>
  <sheetFormatPr defaultRowHeight="15.6" x14ac:dyDescent="0.25"/>
  <cols>
    <col min="1" max="1" width="21.21875" style="6" bestFit="1" customWidth="1"/>
    <col min="2" max="2" width="8.6640625" style="6" bestFit="1" customWidth="1"/>
    <col min="3" max="3" width="13.88671875" style="6" bestFit="1" customWidth="1"/>
    <col min="4" max="16384" width="8.88671875" style="6"/>
  </cols>
  <sheetData>
    <row r="1" spans="1:7" x14ac:dyDescent="0.25">
      <c r="A1" s="5" t="s">
        <v>54</v>
      </c>
    </row>
    <row r="2" spans="1:7" x14ac:dyDescent="0.25">
      <c r="A2" s="7" t="s">
        <v>18</v>
      </c>
      <c r="B2" s="7" t="s">
        <v>19</v>
      </c>
      <c r="C2" s="7" t="s">
        <v>20</v>
      </c>
      <c r="D2" s="7" t="s">
        <v>19</v>
      </c>
    </row>
    <row r="3" spans="1:7" x14ac:dyDescent="0.25">
      <c r="A3" s="8" t="s">
        <v>21</v>
      </c>
      <c r="B3" s="9">
        <v>0</v>
      </c>
      <c r="C3" s="8" t="s">
        <v>22</v>
      </c>
      <c r="D3" s="9">
        <v>0</v>
      </c>
    </row>
    <row r="4" spans="1:7" x14ac:dyDescent="0.25">
      <c r="A4" s="8" t="s">
        <v>23</v>
      </c>
      <c r="B4" s="9">
        <v>0</v>
      </c>
      <c r="C4" s="8" t="s">
        <v>24</v>
      </c>
      <c r="D4" s="9">
        <v>0</v>
      </c>
      <c r="G4" s="6">
        <f>332127+10148</f>
        <v>342275</v>
      </c>
    </row>
    <row r="5" spans="1:7" x14ac:dyDescent="0.25">
      <c r="A5" s="8" t="s">
        <v>25</v>
      </c>
      <c r="B5" s="9">
        <v>0</v>
      </c>
      <c r="C5" s="8" t="s">
        <v>26</v>
      </c>
      <c r="D5" s="9">
        <v>0</v>
      </c>
      <c r="G5" s="6">
        <f>29.8+1.95+3.17+119603+3534</f>
        <v>123171.92</v>
      </c>
    </row>
    <row r="6" spans="1:7" x14ac:dyDescent="0.25">
      <c r="A6" s="8" t="s">
        <v>27</v>
      </c>
      <c r="B6" s="10">
        <f>2500+100</f>
        <v>2600</v>
      </c>
      <c r="C6" s="8" t="s">
        <v>28</v>
      </c>
      <c r="D6" s="9">
        <v>0</v>
      </c>
    </row>
    <row r="7" spans="1:7" x14ac:dyDescent="0.25">
      <c r="A7" s="7" t="s">
        <v>29</v>
      </c>
      <c r="B7" s="10">
        <f>SUM(B3:B6)</f>
        <v>2600</v>
      </c>
      <c r="C7" s="7" t="s">
        <v>30</v>
      </c>
      <c r="D7" s="9">
        <v>0</v>
      </c>
      <c r="E7" s="7"/>
      <c r="G7" s="6">
        <v>231229</v>
      </c>
    </row>
    <row r="8" spans="1:7" x14ac:dyDescent="0.25">
      <c r="A8" s="8" t="s">
        <v>31</v>
      </c>
      <c r="B8" s="10">
        <f>29.8+1.95+3.17+119603+3534+332127+10148</f>
        <v>465446.92</v>
      </c>
      <c r="C8" s="8" t="s">
        <v>32</v>
      </c>
      <c r="D8" s="9">
        <v>0</v>
      </c>
      <c r="G8" s="6">
        <v>100898</v>
      </c>
    </row>
    <row r="9" spans="1:7" x14ac:dyDescent="0.25">
      <c r="A9" s="8" t="s">
        <v>33</v>
      </c>
      <c r="B9" s="10">
        <f>298940</f>
        <v>298940</v>
      </c>
      <c r="C9" s="8" t="s">
        <v>34</v>
      </c>
      <c r="D9" s="9">
        <v>0</v>
      </c>
      <c r="E9" s="6">
        <f>B9/B14</f>
        <v>0.37174937541031217</v>
      </c>
    </row>
    <row r="10" spans="1:7" x14ac:dyDescent="0.25">
      <c r="A10" s="8" t="s">
        <v>35</v>
      </c>
      <c r="B10" s="10">
        <v>350</v>
      </c>
      <c r="C10" s="8" t="s">
        <v>36</v>
      </c>
      <c r="D10" s="10">
        <f>40000+36800-15-45626+5000+44000-10000+100000+130000+100000</f>
        <v>400159</v>
      </c>
      <c r="E10" s="7"/>
    </row>
    <row r="11" spans="1:7" x14ac:dyDescent="0.25">
      <c r="A11" s="8" t="s">
        <v>37</v>
      </c>
      <c r="B11" s="10">
        <v>36807</v>
      </c>
      <c r="C11" s="7" t="s">
        <v>38</v>
      </c>
      <c r="D11" s="10">
        <f>SUM(D8:D10)</f>
        <v>400159</v>
      </c>
    </row>
    <row r="12" spans="1:7" x14ac:dyDescent="0.25">
      <c r="A12" s="8" t="s">
        <v>39</v>
      </c>
      <c r="B12" s="10">
        <v>0</v>
      </c>
      <c r="C12" s="7" t="s">
        <v>40</v>
      </c>
      <c r="D12" s="10">
        <f>D7+D11</f>
        <v>400159</v>
      </c>
    </row>
    <row r="13" spans="1:7" x14ac:dyDescent="0.25">
      <c r="A13" s="7" t="s">
        <v>41</v>
      </c>
      <c r="B13" s="10">
        <f>SUM(B8:B12)</f>
        <v>801543.91999999993</v>
      </c>
      <c r="C13" s="11"/>
      <c r="D13" s="11"/>
    </row>
    <row r="14" spans="1:7" x14ac:dyDescent="0.25">
      <c r="A14" s="7" t="s">
        <v>42</v>
      </c>
      <c r="B14" s="12">
        <f>B13+B7</f>
        <v>804143.91999999993</v>
      </c>
      <c r="C14" s="13"/>
      <c r="D14" s="10"/>
    </row>
    <row r="15" spans="1:7" x14ac:dyDescent="0.25">
      <c r="A15" s="7" t="s">
        <v>43</v>
      </c>
      <c r="B15" s="12">
        <f>B14-D12</f>
        <v>403984.91999999993</v>
      </c>
      <c r="C15" s="13"/>
      <c r="D15" s="10"/>
    </row>
    <row r="16" spans="1:7" x14ac:dyDescent="0.25">
      <c r="A16" s="7" t="s">
        <v>44</v>
      </c>
      <c r="B16" s="15">
        <f>'[1]2015年度'!$B$11</f>
        <v>95925</v>
      </c>
      <c r="C16" s="13"/>
      <c r="D16" s="10"/>
    </row>
    <row r="17" spans="1:5" x14ac:dyDescent="0.25">
      <c r="A17" s="7" t="s">
        <v>45</v>
      </c>
      <c r="B17" s="14">
        <f>D12/B14</f>
        <v>0.49762112234834782</v>
      </c>
      <c r="C17" s="9"/>
      <c r="D17" s="9"/>
      <c r="E17" s="16"/>
    </row>
    <row r="18" spans="1:5" x14ac:dyDescent="0.25">
      <c r="A18" s="5" t="s">
        <v>46</v>
      </c>
      <c r="B18" s="17">
        <f>B16/B15</f>
        <v>0.23744698193189986</v>
      </c>
      <c r="C18" s="18"/>
      <c r="D18" s="18"/>
    </row>
    <row r="20" spans="1:5" x14ac:dyDescent="0.25">
      <c r="A20" s="7" t="s">
        <v>55</v>
      </c>
    </row>
    <row r="21" spans="1:5" x14ac:dyDescent="0.25">
      <c r="A21" s="7" t="s">
        <v>18</v>
      </c>
      <c r="B21" s="7" t="s">
        <v>19</v>
      </c>
      <c r="C21" s="7" t="s">
        <v>20</v>
      </c>
      <c r="D21" s="7" t="s">
        <v>19</v>
      </c>
    </row>
    <row r="22" spans="1:5" x14ac:dyDescent="0.25">
      <c r="A22" s="8" t="s">
        <v>21</v>
      </c>
      <c r="B22" s="9">
        <v>0</v>
      </c>
      <c r="C22" s="8" t="s">
        <v>22</v>
      </c>
      <c r="D22" s="9">
        <v>0</v>
      </c>
    </row>
    <row r="23" spans="1:5" x14ac:dyDescent="0.25">
      <c r="A23" s="8" t="s">
        <v>23</v>
      </c>
      <c r="B23" s="9">
        <v>0</v>
      </c>
      <c r="C23" s="8" t="s">
        <v>24</v>
      </c>
      <c r="D23" s="9">
        <v>0</v>
      </c>
    </row>
    <row r="24" spans="1:5" x14ac:dyDescent="0.25">
      <c r="A24" s="8" t="s">
        <v>25</v>
      </c>
      <c r="B24" s="9">
        <v>0</v>
      </c>
      <c r="C24" s="8" t="s">
        <v>26</v>
      </c>
      <c r="D24" s="9">
        <v>0</v>
      </c>
    </row>
    <row r="25" spans="1:5" x14ac:dyDescent="0.25">
      <c r="A25" s="8" t="s">
        <v>27</v>
      </c>
      <c r="B25" s="10">
        <f>2500+100</f>
        <v>2600</v>
      </c>
      <c r="C25" s="8" t="s">
        <v>28</v>
      </c>
      <c r="D25" s="9">
        <v>0</v>
      </c>
    </row>
    <row r="26" spans="1:5" x14ac:dyDescent="0.25">
      <c r="A26" s="7" t="s">
        <v>29</v>
      </c>
      <c r="B26" s="10">
        <f>SUM(B22:B25)</f>
        <v>2600</v>
      </c>
      <c r="C26" s="7" t="s">
        <v>30</v>
      </c>
      <c r="D26" s="9">
        <v>0</v>
      </c>
      <c r="E26" s="7"/>
    </row>
    <row r="27" spans="1:5" x14ac:dyDescent="0.25">
      <c r="A27" s="8" t="s">
        <v>31</v>
      </c>
      <c r="B27" s="10">
        <f>39.8+563.83+3.17+6920.27+115.5+401388.04+10030.74+228.89</f>
        <v>419290.24</v>
      </c>
      <c r="C27" s="8" t="s">
        <v>32</v>
      </c>
      <c r="D27" s="9">
        <v>0</v>
      </c>
    </row>
    <row r="28" spans="1:5" x14ac:dyDescent="0.25">
      <c r="A28" s="8" t="s">
        <v>33</v>
      </c>
      <c r="B28" s="10">
        <f>218422</f>
        <v>218422</v>
      </c>
      <c r="C28" s="8" t="s">
        <v>34</v>
      </c>
      <c r="D28" s="9">
        <v>0</v>
      </c>
      <c r="E28" s="6">
        <f>B28/B33</f>
        <v>0.32958153215954172</v>
      </c>
    </row>
    <row r="29" spans="1:5" x14ac:dyDescent="0.25">
      <c r="A29" s="8" t="s">
        <v>35</v>
      </c>
      <c r="B29" s="10">
        <f>'[4]2014年度'!$D$10</f>
        <v>600</v>
      </c>
      <c r="C29" s="8" t="s">
        <v>36</v>
      </c>
      <c r="D29" s="10">
        <f>40000+36800-15-45626+5000+44000-10000+100000+130000</f>
        <v>300159</v>
      </c>
      <c r="E29" s="7"/>
    </row>
    <row r="30" spans="1:5" x14ac:dyDescent="0.25">
      <c r="A30" s="8" t="s">
        <v>37</v>
      </c>
      <c r="B30" s="10">
        <f>21813</f>
        <v>21813</v>
      </c>
      <c r="C30" s="7" t="s">
        <v>38</v>
      </c>
      <c r="D30" s="10">
        <f>SUM(D27:D29)</f>
        <v>300159</v>
      </c>
    </row>
    <row r="31" spans="1:5" x14ac:dyDescent="0.25">
      <c r="A31" s="8" t="s">
        <v>39</v>
      </c>
      <c r="B31" s="10">
        <v>0</v>
      </c>
      <c r="C31" s="7" t="s">
        <v>40</v>
      </c>
      <c r="D31" s="10">
        <f>D26+D30</f>
        <v>300159</v>
      </c>
    </row>
    <row r="32" spans="1:5" x14ac:dyDescent="0.25">
      <c r="A32" s="7" t="s">
        <v>41</v>
      </c>
      <c r="B32" s="10">
        <f>SUM(B27:B31)</f>
        <v>660125.24</v>
      </c>
      <c r="C32" s="11"/>
      <c r="D32" s="11"/>
    </row>
    <row r="33" spans="1:5" x14ac:dyDescent="0.25">
      <c r="A33" s="7" t="s">
        <v>42</v>
      </c>
      <c r="B33" s="12">
        <f>B32+B26</f>
        <v>662725.24</v>
      </c>
      <c r="C33" s="13"/>
      <c r="D33" s="10"/>
    </row>
    <row r="34" spans="1:5" x14ac:dyDescent="0.25">
      <c r="A34" s="7" t="s">
        <v>43</v>
      </c>
      <c r="B34" s="12">
        <f>B33-D31</f>
        <v>362566.24</v>
      </c>
      <c r="C34" s="13"/>
      <c r="D34" s="10"/>
    </row>
    <row r="35" spans="1:5" x14ac:dyDescent="0.25">
      <c r="A35" s="7" t="s">
        <v>44</v>
      </c>
      <c r="B35" s="15">
        <f>'[1]2015年度'!$B$11</f>
        <v>95925</v>
      </c>
      <c r="C35" s="13"/>
      <c r="D35" s="10"/>
    </row>
    <row r="36" spans="1:5" x14ac:dyDescent="0.25">
      <c r="A36" s="7" t="s">
        <v>45</v>
      </c>
      <c r="B36" s="14">
        <f>D31/B33</f>
        <v>0.45291620400635413</v>
      </c>
      <c r="C36" s="9"/>
      <c r="D36" s="9"/>
      <c r="E36" s="16"/>
    </row>
    <row r="37" spans="1:5" x14ac:dyDescent="0.25">
      <c r="A37" s="5" t="s">
        <v>46</v>
      </c>
      <c r="B37" s="17">
        <f>B35/B34</f>
        <v>0.26457234407704372</v>
      </c>
      <c r="C37" s="18"/>
      <c r="D37" s="18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F9747-5DDA-4928-B3B1-9C25924E38D4}">
  <dimension ref="A1:E41"/>
  <sheetViews>
    <sheetView workbookViewId="0">
      <selection activeCell="G15" sqref="G15"/>
    </sheetView>
  </sheetViews>
  <sheetFormatPr defaultRowHeight="15.6" x14ac:dyDescent="0.25"/>
  <cols>
    <col min="1" max="16384" width="8.88671875" style="6"/>
  </cols>
  <sheetData>
    <row r="1" spans="1:5" x14ac:dyDescent="0.25">
      <c r="A1" s="5" t="s">
        <v>56</v>
      </c>
    </row>
    <row r="2" spans="1:5" x14ac:dyDescent="0.25">
      <c r="A2" s="7" t="s">
        <v>18</v>
      </c>
      <c r="B2" s="7" t="s">
        <v>19</v>
      </c>
      <c r="C2" s="7" t="s">
        <v>20</v>
      </c>
      <c r="D2" s="7" t="s">
        <v>19</v>
      </c>
    </row>
    <row r="3" spans="1:5" x14ac:dyDescent="0.25">
      <c r="A3" s="8" t="s">
        <v>21</v>
      </c>
      <c r="B3" s="9">
        <v>0</v>
      </c>
      <c r="C3" s="8" t="s">
        <v>22</v>
      </c>
      <c r="D3" s="9">
        <v>0</v>
      </c>
    </row>
    <row r="4" spans="1:5" x14ac:dyDescent="0.25">
      <c r="A4" s="8" t="s">
        <v>23</v>
      </c>
      <c r="B4" s="9">
        <v>0</v>
      </c>
      <c r="C4" s="8" t="s">
        <v>24</v>
      </c>
      <c r="D4" s="9">
        <v>0</v>
      </c>
    </row>
    <row r="5" spans="1:5" x14ac:dyDescent="0.25">
      <c r="A5" s="8" t="s">
        <v>25</v>
      </c>
      <c r="B5" s="9">
        <v>0</v>
      </c>
      <c r="C5" s="8" t="s">
        <v>26</v>
      </c>
      <c r="D5" s="9">
        <v>0</v>
      </c>
    </row>
    <row r="6" spans="1:5" x14ac:dyDescent="0.25">
      <c r="A6" s="8" t="s">
        <v>27</v>
      </c>
      <c r="B6" s="10">
        <f>3360+100</f>
        <v>3460</v>
      </c>
      <c r="C6" s="8" t="s">
        <v>28</v>
      </c>
      <c r="D6" s="9">
        <v>0</v>
      </c>
    </row>
    <row r="7" spans="1:5" x14ac:dyDescent="0.25">
      <c r="A7" s="7" t="s">
        <v>29</v>
      </c>
      <c r="B7" s="10">
        <f>SUM(B3:B6)</f>
        <v>3460</v>
      </c>
      <c r="C7" s="7" t="s">
        <v>30</v>
      </c>
      <c r="D7" s="9">
        <v>0</v>
      </c>
      <c r="E7" s="7"/>
    </row>
    <row r="8" spans="1:5" x14ac:dyDescent="0.25">
      <c r="A8" s="8" t="s">
        <v>31</v>
      </c>
      <c r="B8" s="10">
        <f>69.5+1533.04+1725.71+16951.56+225+130000</f>
        <v>150504.81</v>
      </c>
      <c r="C8" s="8" t="s">
        <v>32</v>
      </c>
      <c r="D8" s="9">
        <v>0</v>
      </c>
    </row>
    <row r="9" spans="1:5" x14ac:dyDescent="0.25">
      <c r="A9" s="8" t="s">
        <v>33</v>
      </c>
      <c r="B9" s="10">
        <f>190036</f>
        <v>190036</v>
      </c>
      <c r="C9" s="8" t="s">
        <v>34</v>
      </c>
      <c r="D9" s="9">
        <v>0</v>
      </c>
    </row>
    <row r="10" spans="1:5" x14ac:dyDescent="0.25">
      <c r="A10" s="8" t="s">
        <v>35</v>
      </c>
      <c r="B10" s="10">
        <f>'[4]2014年度'!$D$10</f>
        <v>600</v>
      </c>
      <c r="C10" s="8" t="s">
        <v>36</v>
      </c>
      <c r="D10" s="10">
        <f>40000+36800-15-45626+5000+44000-10000</f>
        <v>70159</v>
      </c>
      <c r="E10" s="7"/>
    </row>
    <row r="11" spans="1:5" x14ac:dyDescent="0.25">
      <c r="A11" s="8" t="s">
        <v>37</v>
      </c>
      <c r="B11" s="10">
        <f>21813</f>
        <v>21813</v>
      </c>
      <c r="C11" s="7" t="s">
        <v>38</v>
      </c>
      <c r="D11" s="10">
        <f>SUM(D8:D10)</f>
        <v>70159</v>
      </c>
    </row>
    <row r="12" spans="1:5" x14ac:dyDescent="0.25">
      <c r="A12" s="8" t="s">
        <v>39</v>
      </c>
      <c r="B12" s="10">
        <v>0</v>
      </c>
      <c r="C12" s="7" t="s">
        <v>40</v>
      </c>
      <c r="D12" s="10">
        <f>D7+D11</f>
        <v>70159</v>
      </c>
    </row>
    <row r="13" spans="1:5" x14ac:dyDescent="0.25">
      <c r="A13" s="7" t="s">
        <v>41</v>
      </c>
      <c r="B13" s="10">
        <f>SUM(B8:B12)</f>
        <v>362953.81</v>
      </c>
      <c r="C13" s="11"/>
      <c r="D13" s="11"/>
    </row>
    <row r="14" spans="1:5" x14ac:dyDescent="0.25">
      <c r="A14" s="7" t="s">
        <v>42</v>
      </c>
      <c r="B14" s="12">
        <f>B13+B7</f>
        <v>366413.81</v>
      </c>
      <c r="C14" s="13"/>
      <c r="D14" s="10"/>
    </row>
    <row r="15" spans="1:5" x14ac:dyDescent="0.25">
      <c r="A15" s="7" t="s">
        <v>43</v>
      </c>
      <c r="B15" s="12">
        <f>B14-D12</f>
        <v>296254.81</v>
      </c>
      <c r="C15" s="13"/>
      <c r="D15" s="10"/>
    </row>
    <row r="16" spans="1:5" x14ac:dyDescent="0.25">
      <c r="A16" s="7" t="s">
        <v>44</v>
      </c>
      <c r="B16" s="15">
        <f>'[1]2014年度'!$B$11</f>
        <v>111742.21808219174</v>
      </c>
      <c r="C16" s="13"/>
      <c r="D16" s="10"/>
    </row>
    <row r="17" spans="1:5" x14ac:dyDescent="0.25">
      <c r="A17" s="7" t="s">
        <v>45</v>
      </c>
      <c r="B17" s="14">
        <f>D12/B14</f>
        <v>0.19147477001480923</v>
      </c>
      <c r="C17" s="9"/>
      <c r="D17" s="9"/>
      <c r="E17" s="16"/>
    </row>
    <row r="18" spans="1:5" x14ac:dyDescent="0.25">
      <c r="A18" s="5" t="s">
        <v>46</v>
      </c>
      <c r="B18" s="17">
        <f>B16/B15</f>
        <v>0.37718279774830238</v>
      </c>
      <c r="C18" s="18"/>
      <c r="D18" s="18"/>
    </row>
    <row r="20" spans="1:5" x14ac:dyDescent="0.25">
      <c r="A20" s="7" t="s">
        <v>57</v>
      </c>
    </row>
    <row r="21" spans="1:5" x14ac:dyDescent="0.25">
      <c r="A21" s="7" t="s">
        <v>18</v>
      </c>
      <c r="B21" s="7" t="s">
        <v>19</v>
      </c>
      <c r="C21" s="7" t="s">
        <v>20</v>
      </c>
      <c r="D21" s="7" t="s">
        <v>19</v>
      </c>
    </row>
    <row r="22" spans="1:5" x14ac:dyDescent="0.25">
      <c r="A22" s="8" t="s">
        <v>21</v>
      </c>
      <c r="B22" s="9">
        <v>0</v>
      </c>
      <c r="C22" s="8" t="s">
        <v>22</v>
      </c>
      <c r="D22" s="9">
        <v>0</v>
      </c>
    </row>
    <row r="23" spans="1:5" x14ac:dyDescent="0.25">
      <c r="A23" s="8" t="s">
        <v>23</v>
      </c>
      <c r="B23" s="9">
        <v>0</v>
      </c>
      <c r="C23" s="8" t="s">
        <v>24</v>
      </c>
      <c r="D23" s="9">
        <v>0</v>
      </c>
    </row>
    <row r="24" spans="1:5" x14ac:dyDescent="0.25">
      <c r="A24" s="8" t="s">
        <v>25</v>
      </c>
      <c r="B24" s="9">
        <v>0</v>
      </c>
      <c r="C24" s="8" t="s">
        <v>26</v>
      </c>
      <c r="D24" s="9">
        <v>0</v>
      </c>
    </row>
    <row r="25" spans="1:5" x14ac:dyDescent="0.25">
      <c r="A25" s="8" t="s">
        <v>27</v>
      </c>
      <c r="B25" s="10">
        <f>3360+100</f>
        <v>3460</v>
      </c>
      <c r="C25" s="8" t="s">
        <v>28</v>
      </c>
      <c r="D25" s="9">
        <v>0</v>
      </c>
      <c r="E25" s="6" t="s">
        <v>58</v>
      </c>
    </row>
    <row r="26" spans="1:5" x14ac:dyDescent="0.25">
      <c r="A26" s="7" t="s">
        <v>29</v>
      </c>
      <c r="B26" s="10">
        <f>SUM(B22:B25)</f>
        <v>3460</v>
      </c>
      <c r="C26" s="7" t="s">
        <v>30</v>
      </c>
      <c r="D26" s="9">
        <v>0</v>
      </c>
    </row>
    <row r="27" spans="1:5" x14ac:dyDescent="0.25">
      <c r="A27" s="8" t="s">
        <v>31</v>
      </c>
      <c r="B27" s="10">
        <f>1.33+61.95+27774.51+175.9+60829.47</f>
        <v>88843.16</v>
      </c>
      <c r="C27" s="8" t="s">
        <v>32</v>
      </c>
      <c r="D27" s="9">
        <v>0</v>
      </c>
    </row>
    <row r="28" spans="1:5" x14ac:dyDescent="0.25">
      <c r="A28" s="8" t="s">
        <v>33</v>
      </c>
      <c r="B28" s="10">
        <v>166922</v>
      </c>
      <c r="C28" s="8" t="s">
        <v>34</v>
      </c>
      <c r="D28" s="9">
        <v>0</v>
      </c>
    </row>
    <row r="29" spans="1:5" x14ac:dyDescent="0.25">
      <c r="A29" s="8" t="s">
        <v>35</v>
      </c>
      <c r="B29" s="10">
        <v>700</v>
      </c>
      <c r="C29" s="8" t="s">
        <v>36</v>
      </c>
      <c r="D29" s="10">
        <f>40000+36800-15-45626+5000+44000-10000</f>
        <v>70159</v>
      </c>
      <c r="E29" s="7"/>
    </row>
    <row r="30" spans="1:5" x14ac:dyDescent="0.25">
      <c r="A30" s="8" t="s">
        <v>37</v>
      </c>
      <c r="B30" s="10">
        <f>11794+3*784</f>
        <v>14146</v>
      </c>
      <c r="C30" s="7" t="s">
        <v>38</v>
      </c>
      <c r="D30" s="10">
        <f>SUM(D27:D29)</f>
        <v>70159</v>
      </c>
    </row>
    <row r="31" spans="1:5" x14ac:dyDescent="0.25">
      <c r="A31" s="8" t="s">
        <v>39</v>
      </c>
      <c r="B31" s="10">
        <v>0</v>
      </c>
      <c r="C31" s="7" t="s">
        <v>40</v>
      </c>
      <c r="D31" s="10">
        <f>D26+D30</f>
        <v>70159</v>
      </c>
    </row>
    <row r="32" spans="1:5" x14ac:dyDescent="0.25">
      <c r="A32" s="7" t="s">
        <v>41</v>
      </c>
      <c r="B32" s="10">
        <f>SUM(B27:B31)</f>
        <v>270611.16000000003</v>
      </c>
      <c r="C32" s="11"/>
      <c r="D32" s="11"/>
    </row>
    <row r="33" spans="1:5" x14ac:dyDescent="0.25">
      <c r="A33" s="7" t="s">
        <v>42</v>
      </c>
      <c r="B33" s="12">
        <f>B32+B26</f>
        <v>274071.16000000003</v>
      </c>
      <c r="C33" s="13"/>
      <c r="D33" s="10"/>
    </row>
    <row r="34" spans="1:5" x14ac:dyDescent="0.25">
      <c r="A34" s="7" t="s">
        <v>43</v>
      </c>
      <c r="B34" s="12">
        <f>B33-D31</f>
        <v>203912.16000000003</v>
      </c>
      <c r="C34" s="13"/>
      <c r="D34" s="10"/>
      <c r="E34" s="6" t="s">
        <v>59</v>
      </c>
    </row>
    <row r="35" spans="1:5" x14ac:dyDescent="0.25">
      <c r="A35" s="7" t="s">
        <v>44</v>
      </c>
      <c r="B35" s="15">
        <f>'[1]2014年度'!$B$24</f>
        <v>21959.41</v>
      </c>
      <c r="C35" s="13"/>
      <c r="D35" s="10"/>
    </row>
    <row r="36" spans="1:5" x14ac:dyDescent="0.25">
      <c r="A36" s="7" t="s">
        <v>45</v>
      </c>
      <c r="B36" s="14">
        <f>D31/B33</f>
        <v>0.25598826231844313</v>
      </c>
      <c r="C36" s="9"/>
      <c r="D36" s="9"/>
    </row>
    <row r="37" spans="1:5" x14ac:dyDescent="0.25">
      <c r="A37" s="5" t="s">
        <v>46</v>
      </c>
      <c r="B37" s="17">
        <f>B35/B34</f>
        <v>0.10769053694492764</v>
      </c>
      <c r="C37" s="18"/>
      <c r="D37" s="18"/>
    </row>
    <row r="39" spans="1:5" x14ac:dyDescent="0.25">
      <c r="A39" s="7" t="s">
        <v>60</v>
      </c>
    </row>
    <row r="40" spans="1:5" x14ac:dyDescent="0.25">
      <c r="A40" s="7" t="s">
        <v>61</v>
      </c>
    </row>
    <row r="41" spans="1:5" x14ac:dyDescent="0.25">
      <c r="A41" s="7" t="s">
        <v>62</v>
      </c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CE070-6FD3-4A23-B3CC-E6B4C3659778}">
  <dimension ref="A1:F98"/>
  <sheetViews>
    <sheetView topLeftCell="A76" workbookViewId="0">
      <selection activeCell="B9" sqref="B9"/>
    </sheetView>
  </sheetViews>
  <sheetFormatPr defaultRowHeight="15.6" x14ac:dyDescent="0.25"/>
  <cols>
    <col min="1" max="1" width="13.5546875" style="6" bestFit="1" customWidth="1"/>
    <col min="2" max="2" width="8.5546875" style="6" bestFit="1" customWidth="1"/>
    <col min="3" max="3" width="13.5546875" style="6" bestFit="1" customWidth="1"/>
    <col min="4" max="4" width="7.6640625" style="6" bestFit="1" customWidth="1"/>
    <col min="5" max="5" width="10.5546875" style="6" bestFit="1" customWidth="1"/>
    <col min="6" max="256" width="8.88671875" style="6"/>
    <col min="257" max="257" width="13.5546875" style="6" bestFit="1" customWidth="1"/>
    <col min="258" max="258" width="8.5546875" style="6" bestFit="1" customWidth="1"/>
    <col min="259" max="259" width="13.5546875" style="6" bestFit="1" customWidth="1"/>
    <col min="260" max="260" width="7.6640625" style="6" bestFit="1" customWidth="1"/>
    <col min="261" max="261" width="10.5546875" style="6" bestFit="1" customWidth="1"/>
    <col min="262" max="512" width="8.88671875" style="6"/>
    <col min="513" max="513" width="13.5546875" style="6" bestFit="1" customWidth="1"/>
    <col min="514" max="514" width="8.5546875" style="6" bestFit="1" customWidth="1"/>
    <col min="515" max="515" width="13.5546875" style="6" bestFit="1" customWidth="1"/>
    <col min="516" max="516" width="7.6640625" style="6" bestFit="1" customWidth="1"/>
    <col min="517" max="517" width="10.5546875" style="6" bestFit="1" customWidth="1"/>
    <col min="518" max="768" width="8.88671875" style="6"/>
    <col min="769" max="769" width="13.5546875" style="6" bestFit="1" customWidth="1"/>
    <col min="770" max="770" width="8.5546875" style="6" bestFit="1" customWidth="1"/>
    <col min="771" max="771" width="13.5546875" style="6" bestFit="1" customWidth="1"/>
    <col min="772" max="772" width="7.6640625" style="6" bestFit="1" customWidth="1"/>
    <col min="773" max="773" width="10.5546875" style="6" bestFit="1" customWidth="1"/>
    <col min="774" max="1024" width="8.88671875" style="6"/>
    <col min="1025" max="1025" width="13.5546875" style="6" bestFit="1" customWidth="1"/>
    <col min="1026" max="1026" width="8.5546875" style="6" bestFit="1" customWidth="1"/>
    <col min="1027" max="1027" width="13.5546875" style="6" bestFit="1" customWidth="1"/>
    <col min="1028" max="1028" width="7.6640625" style="6" bestFit="1" customWidth="1"/>
    <col min="1029" max="1029" width="10.5546875" style="6" bestFit="1" customWidth="1"/>
    <col min="1030" max="1280" width="8.88671875" style="6"/>
    <col min="1281" max="1281" width="13.5546875" style="6" bestFit="1" customWidth="1"/>
    <col min="1282" max="1282" width="8.5546875" style="6" bestFit="1" customWidth="1"/>
    <col min="1283" max="1283" width="13.5546875" style="6" bestFit="1" customWidth="1"/>
    <col min="1284" max="1284" width="7.6640625" style="6" bestFit="1" customWidth="1"/>
    <col min="1285" max="1285" width="10.5546875" style="6" bestFit="1" customWidth="1"/>
    <col min="1286" max="1536" width="8.88671875" style="6"/>
    <col min="1537" max="1537" width="13.5546875" style="6" bestFit="1" customWidth="1"/>
    <col min="1538" max="1538" width="8.5546875" style="6" bestFit="1" customWidth="1"/>
    <col min="1539" max="1539" width="13.5546875" style="6" bestFit="1" customWidth="1"/>
    <col min="1540" max="1540" width="7.6640625" style="6" bestFit="1" customWidth="1"/>
    <col min="1541" max="1541" width="10.5546875" style="6" bestFit="1" customWidth="1"/>
    <col min="1542" max="1792" width="8.88671875" style="6"/>
    <col min="1793" max="1793" width="13.5546875" style="6" bestFit="1" customWidth="1"/>
    <col min="1794" max="1794" width="8.5546875" style="6" bestFit="1" customWidth="1"/>
    <col min="1795" max="1795" width="13.5546875" style="6" bestFit="1" customWidth="1"/>
    <col min="1796" max="1796" width="7.6640625" style="6" bestFit="1" customWidth="1"/>
    <col min="1797" max="1797" width="10.5546875" style="6" bestFit="1" customWidth="1"/>
    <col min="1798" max="2048" width="8.88671875" style="6"/>
    <col min="2049" max="2049" width="13.5546875" style="6" bestFit="1" customWidth="1"/>
    <col min="2050" max="2050" width="8.5546875" style="6" bestFit="1" customWidth="1"/>
    <col min="2051" max="2051" width="13.5546875" style="6" bestFit="1" customWidth="1"/>
    <col min="2052" max="2052" width="7.6640625" style="6" bestFit="1" customWidth="1"/>
    <col min="2053" max="2053" width="10.5546875" style="6" bestFit="1" customWidth="1"/>
    <col min="2054" max="2304" width="8.88671875" style="6"/>
    <col min="2305" max="2305" width="13.5546875" style="6" bestFit="1" customWidth="1"/>
    <col min="2306" max="2306" width="8.5546875" style="6" bestFit="1" customWidth="1"/>
    <col min="2307" max="2307" width="13.5546875" style="6" bestFit="1" customWidth="1"/>
    <col min="2308" max="2308" width="7.6640625" style="6" bestFit="1" customWidth="1"/>
    <col min="2309" max="2309" width="10.5546875" style="6" bestFit="1" customWidth="1"/>
    <col min="2310" max="2560" width="8.88671875" style="6"/>
    <col min="2561" max="2561" width="13.5546875" style="6" bestFit="1" customWidth="1"/>
    <col min="2562" max="2562" width="8.5546875" style="6" bestFit="1" customWidth="1"/>
    <col min="2563" max="2563" width="13.5546875" style="6" bestFit="1" customWidth="1"/>
    <col min="2564" max="2564" width="7.6640625" style="6" bestFit="1" customWidth="1"/>
    <col min="2565" max="2565" width="10.5546875" style="6" bestFit="1" customWidth="1"/>
    <col min="2566" max="2816" width="8.88671875" style="6"/>
    <col min="2817" max="2817" width="13.5546875" style="6" bestFit="1" customWidth="1"/>
    <col min="2818" max="2818" width="8.5546875" style="6" bestFit="1" customWidth="1"/>
    <col min="2819" max="2819" width="13.5546875" style="6" bestFit="1" customWidth="1"/>
    <col min="2820" max="2820" width="7.6640625" style="6" bestFit="1" customWidth="1"/>
    <col min="2821" max="2821" width="10.5546875" style="6" bestFit="1" customWidth="1"/>
    <col min="2822" max="3072" width="8.88671875" style="6"/>
    <col min="3073" max="3073" width="13.5546875" style="6" bestFit="1" customWidth="1"/>
    <col min="3074" max="3074" width="8.5546875" style="6" bestFit="1" customWidth="1"/>
    <col min="3075" max="3075" width="13.5546875" style="6" bestFit="1" customWidth="1"/>
    <col min="3076" max="3076" width="7.6640625" style="6" bestFit="1" customWidth="1"/>
    <col min="3077" max="3077" width="10.5546875" style="6" bestFit="1" customWidth="1"/>
    <col min="3078" max="3328" width="8.88671875" style="6"/>
    <col min="3329" max="3329" width="13.5546875" style="6" bestFit="1" customWidth="1"/>
    <col min="3330" max="3330" width="8.5546875" style="6" bestFit="1" customWidth="1"/>
    <col min="3331" max="3331" width="13.5546875" style="6" bestFit="1" customWidth="1"/>
    <col min="3332" max="3332" width="7.6640625" style="6" bestFit="1" customWidth="1"/>
    <col min="3333" max="3333" width="10.5546875" style="6" bestFit="1" customWidth="1"/>
    <col min="3334" max="3584" width="8.88671875" style="6"/>
    <col min="3585" max="3585" width="13.5546875" style="6" bestFit="1" customWidth="1"/>
    <col min="3586" max="3586" width="8.5546875" style="6" bestFit="1" customWidth="1"/>
    <col min="3587" max="3587" width="13.5546875" style="6" bestFit="1" customWidth="1"/>
    <col min="3588" max="3588" width="7.6640625" style="6" bestFit="1" customWidth="1"/>
    <col min="3589" max="3589" width="10.5546875" style="6" bestFit="1" customWidth="1"/>
    <col min="3590" max="3840" width="8.88671875" style="6"/>
    <col min="3841" max="3841" width="13.5546875" style="6" bestFit="1" customWidth="1"/>
    <col min="3842" max="3842" width="8.5546875" style="6" bestFit="1" customWidth="1"/>
    <col min="3843" max="3843" width="13.5546875" style="6" bestFit="1" customWidth="1"/>
    <col min="3844" max="3844" width="7.6640625" style="6" bestFit="1" customWidth="1"/>
    <col min="3845" max="3845" width="10.5546875" style="6" bestFit="1" customWidth="1"/>
    <col min="3846" max="4096" width="8.88671875" style="6"/>
    <col min="4097" max="4097" width="13.5546875" style="6" bestFit="1" customWidth="1"/>
    <col min="4098" max="4098" width="8.5546875" style="6" bestFit="1" customWidth="1"/>
    <col min="4099" max="4099" width="13.5546875" style="6" bestFit="1" customWidth="1"/>
    <col min="4100" max="4100" width="7.6640625" style="6" bestFit="1" customWidth="1"/>
    <col min="4101" max="4101" width="10.5546875" style="6" bestFit="1" customWidth="1"/>
    <col min="4102" max="4352" width="8.88671875" style="6"/>
    <col min="4353" max="4353" width="13.5546875" style="6" bestFit="1" customWidth="1"/>
    <col min="4354" max="4354" width="8.5546875" style="6" bestFit="1" customWidth="1"/>
    <col min="4355" max="4355" width="13.5546875" style="6" bestFit="1" customWidth="1"/>
    <col min="4356" max="4356" width="7.6640625" style="6" bestFit="1" customWidth="1"/>
    <col min="4357" max="4357" width="10.5546875" style="6" bestFit="1" customWidth="1"/>
    <col min="4358" max="4608" width="8.88671875" style="6"/>
    <col min="4609" max="4609" width="13.5546875" style="6" bestFit="1" customWidth="1"/>
    <col min="4610" max="4610" width="8.5546875" style="6" bestFit="1" customWidth="1"/>
    <col min="4611" max="4611" width="13.5546875" style="6" bestFit="1" customWidth="1"/>
    <col min="4612" max="4612" width="7.6640625" style="6" bestFit="1" customWidth="1"/>
    <col min="4613" max="4613" width="10.5546875" style="6" bestFit="1" customWidth="1"/>
    <col min="4614" max="4864" width="8.88671875" style="6"/>
    <col min="4865" max="4865" width="13.5546875" style="6" bestFit="1" customWidth="1"/>
    <col min="4866" max="4866" width="8.5546875" style="6" bestFit="1" customWidth="1"/>
    <col min="4867" max="4867" width="13.5546875" style="6" bestFit="1" customWidth="1"/>
    <col min="4868" max="4868" width="7.6640625" style="6" bestFit="1" customWidth="1"/>
    <col min="4869" max="4869" width="10.5546875" style="6" bestFit="1" customWidth="1"/>
    <col min="4870" max="5120" width="8.88671875" style="6"/>
    <col min="5121" max="5121" width="13.5546875" style="6" bestFit="1" customWidth="1"/>
    <col min="5122" max="5122" width="8.5546875" style="6" bestFit="1" customWidth="1"/>
    <col min="5123" max="5123" width="13.5546875" style="6" bestFit="1" customWidth="1"/>
    <col min="5124" max="5124" width="7.6640625" style="6" bestFit="1" customWidth="1"/>
    <col min="5125" max="5125" width="10.5546875" style="6" bestFit="1" customWidth="1"/>
    <col min="5126" max="5376" width="8.88671875" style="6"/>
    <col min="5377" max="5377" width="13.5546875" style="6" bestFit="1" customWidth="1"/>
    <col min="5378" max="5378" width="8.5546875" style="6" bestFit="1" customWidth="1"/>
    <col min="5379" max="5379" width="13.5546875" style="6" bestFit="1" customWidth="1"/>
    <col min="5380" max="5380" width="7.6640625" style="6" bestFit="1" customWidth="1"/>
    <col min="5381" max="5381" width="10.5546875" style="6" bestFit="1" customWidth="1"/>
    <col min="5382" max="5632" width="8.88671875" style="6"/>
    <col min="5633" max="5633" width="13.5546875" style="6" bestFit="1" customWidth="1"/>
    <col min="5634" max="5634" width="8.5546875" style="6" bestFit="1" customWidth="1"/>
    <col min="5635" max="5635" width="13.5546875" style="6" bestFit="1" customWidth="1"/>
    <col min="5636" max="5636" width="7.6640625" style="6" bestFit="1" customWidth="1"/>
    <col min="5637" max="5637" width="10.5546875" style="6" bestFit="1" customWidth="1"/>
    <col min="5638" max="5888" width="8.88671875" style="6"/>
    <col min="5889" max="5889" width="13.5546875" style="6" bestFit="1" customWidth="1"/>
    <col min="5890" max="5890" width="8.5546875" style="6" bestFit="1" customWidth="1"/>
    <col min="5891" max="5891" width="13.5546875" style="6" bestFit="1" customWidth="1"/>
    <col min="5892" max="5892" width="7.6640625" style="6" bestFit="1" customWidth="1"/>
    <col min="5893" max="5893" width="10.5546875" style="6" bestFit="1" customWidth="1"/>
    <col min="5894" max="6144" width="8.88671875" style="6"/>
    <col min="6145" max="6145" width="13.5546875" style="6" bestFit="1" customWidth="1"/>
    <col min="6146" max="6146" width="8.5546875" style="6" bestFit="1" customWidth="1"/>
    <col min="6147" max="6147" width="13.5546875" style="6" bestFit="1" customWidth="1"/>
    <col min="6148" max="6148" width="7.6640625" style="6" bestFit="1" customWidth="1"/>
    <col min="6149" max="6149" width="10.5546875" style="6" bestFit="1" customWidth="1"/>
    <col min="6150" max="6400" width="8.88671875" style="6"/>
    <col min="6401" max="6401" width="13.5546875" style="6" bestFit="1" customWidth="1"/>
    <col min="6402" max="6402" width="8.5546875" style="6" bestFit="1" customWidth="1"/>
    <col min="6403" max="6403" width="13.5546875" style="6" bestFit="1" customWidth="1"/>
    <col min="6404" max="6404" width="7.6640625" style="6" bestFit="1" customWidth="1"/>
    <col min="6405" max="6405" width="10.5546875" style="6" bestFit="1" customWidth="1"/>
    <col min="6406" max="6656" width="8.88671875" style="6"/>
    <col min="6657" max="6657" width="13.5546875" style="6" bestFit="1" customWidth="1"/>
    <col min="6658" max="6658" width="8.5546875" style="6" bestFit="1" customWidth="1"/>
    <col min="6659" max="6659" width="13.5546875" style="6" bestFit="1" customWidth="1"/>
    <col min="6660" max="6660" width="7.6640625" style="6" bestFit="1" customWidth="1"/>
    <col min="6661" max="6661" width="10.5546875" style="6" bestFit="1" customWidth="1"/>
    <col min="6662" max="6912" width="8.88671875" style="6"/>
    <col min="6913" max="6913" width="13.5546875" style="6" bestFit="1" customWidth="1"/>
    <col min="6914" max="6914" width="8.5546875" style="6" bestFit="1" customWidth="1"/>
    <col min="6915" max="6915" width="13.5546875" style="6" bestFit="1" customWidth="1"/>
    <col min="6916" max="6916" width="7.6640625" style="6" bestFit="1" customWidth="1"/>
    <col min="6917" max="6917" width="10.5546875" style="6" bestFit="1" customWidth="1"/>
    <col min="6918" max="7168" width="8.88671875" style="6"/>
    <col min="7169" max="7169" width="13.5546875" style="6" bestFit="1" customWidth="1"/>
    <col min="7170" max="7170" width="8.5546875" style="6" bestFit="1" customWidth="1"/>
    <col min="7171" max="7171" width="13.5546875" style="6" bestFit="1" customWidth="1"/>
    <col min="7172" max="7172" width="7.6640625" style="6" bestFit="1" customWidth="1"/>
    <col min="7173" max="7173" width="10.5546875" style="6" bestFit="1" customWidth="1"/>
    <col min="7174" max="7424" width="8.88671875" style="6"/>
    <col min="7425" max="7425" width="13.5546875" style="6" bestFit="1" customWidth="1"/>
    <col min="7426" max="7426" width="8.5546875" style="6" bestFit="1" customWidth="1"/>
    <col min="7427" max="7427" width="13.5546875" style="6" bestFit="1" customWidth="1"/>
    <col min="7428" max="7428" width="7.6640625" style="6" bestFit="1" customWidth="1"/>
    <col min="7429" max="7429" width="10.5546875" style="6" bestFit="1" customWidth="1"/>
    <col min="7430" max="7680" width="8.88671875" style="6"/>
    <col min="7681" max="7681" width="13.5546875" style="6" bestFit="1" customWidth="1"/>
    <col min="7682" max="7682" width="8.5546875" style="6" bestFit="1" customWidth="1"/>
    <col min="7683" max="7683" width="13.5546875" style="6" bestFit="1" customWidth="1"/>
    <col min="7684" max="7684" width="7.6640625" style="6" bestFit="1" customWidth="1"/>
    <col min="7685" max="7685" width="10.5546875" style="6" bestFit="1" customWidth="1"/>
    <col min="7686" max="7936" width="8.88671875" style="6"/>
    <col min="7937" max="7937" width="13.5546875" style="6" bestFit="1" customWidth="1"/>
    <col min="7938" max="7938" width="8.5546875" style="6" bestFit="1" customWidth="1"/>
    <col min="7939" max="7939" width="13.5546875" style="6" bestFit="1" customWidth="1"/>
    <col min="7940" max="7940" width="7.6640625" style="6" bestFit="1" customWidth="1"/>
    <col min="7941" max="7941" width="10.5546875" style="6" bestFit="1" customWidth="1"/>
    <col min="7942" max="8192" width="8.88671875" style="6"/>
    <col min="8193" max="8193" width="13.5546875" style="6" bestFit="1" customWidth="1"/>
    <col min="8194" max="8194" width="8.5546875" style="6" bestFit="1" customWidth="1"/>
    <col min="8195" max="8195" width="13.5546875" style="6" bestFit="1" customWidth="1"/>
    <col min="8196" max="8196" width="7.6640625" style="6" bestFit="1" customWidth="1"/>
    <col min="8197" max="8197" width="10.5546875" style="6" bestFit="1" customWidth="1"/>
    <col min="8198" max="8448" width="8.88671875" style="6"/>
    <col min="8449" max="8449" width="13.5546875" style="6" bestFit="1" customWidth="1"/>
    <col min="8450" max="8450" width="8.5546875" style="6" bestFit="1" customWidth="1"/>
    <col min="8451" max="8451" width="13.5546875" style="6" bestFit="1" customWidth="1"/>
    <col min="8452" max="8452" width="7.6640625" style="6" bestFit="1" customWidth="1"/>
    <col min="8453" max="8453" width="10.5546875" style="6" bestFit="1" customWidth="1"/>
    <col min="8454" max="8704" width="8.88671875" style="6"/>
    <col min="8705" max="8705" width="13.5546875" style="6" bestFit="1" customWidth="1"/>
    <col min="8706" max="8706" width="8.5546875" style="6" bestFit="1" customWidth="1"/>
    <col min="8707" max="8707" width="13.5546875" style="6" bestFit="1" customWidth="1"/>
    <col min="8708" max="8708" width="7.6640625" style="6" bestFit="1" customWidth="1"/>
    <col min="8709" max="8709" width="10.5546875" style="6" bestFit="1" customWidth="1"/>
    <col min="8710" max="8960" width="8.88671875" style="6"/>
    <col min="8961" max="8961" width="13.5546875" style="6" bestFit="1" customWidth="1"/>
    <col min="8962" max="8962" width="8.5546875" style="6" bestFit="1" customWidth="1"/>
    <col min="8963" max="8963" width="13.5546875" style="6" bestFit="1" customWidth="1"/>
    <col min="8964" max="8964" width="7.6640625" style="6" bestFit="1" customWidth="1"/>
    <col min="8965" max="8965" width="10.5546875" style="6" bestFit="1" customWidth="1"/>
    <col min="8966" max="9216" width="8.88671875" style="6"/>
    <col min="9217" max="9217" width="13.5546875" style="6" bestFit="1" customWidth="1"/>
    <col min="9218" max="9218" width="8.5546875" style="6" bestFit="1" customWidth="1"/>
    <col min="9219" max="9219" width="13.5546875" style="6" bestFit="1" customWidth="1"/>
    <col min="9220" max="9220" width="7.6640625" style="6" bestFit="1" customWidth="1"/>
    <col min="9221" max="9221" width="10.5546875" style="6" bestFit="1" customWidth="1"/>
    <col min="9222" max="9472" width="8.88671875" style="6"/>
    <col min="9473" max="9473" width="13.5546875" style="6" bestFit="1" customWidth="1"/>
    <col min="9474" max="9474" width="8.5546875" style="6" bestFit="1" customWidth="1"/>
    <col min="9475" max="9475" width="13.5546875" style="6" bestFit="1" customWidth="1"/>
    <col min="9476" max="9476" width="7.6640625" style="6" bestFit="1" customWidth="1"/>
    <col min="9477" max="9477" width="10.5546875" style="6" bestFit="1" customWidth="1"/>
    <col min="9478" max="9728" width="8.88671875" style="6"/>
    <col min="9729" max="9729" width="13.5546875" style="6" bestFit="1" customWidth="1"/>
    <col min="9730" max="9730" width="8.5546875" style="6" bestFit="1" customWidth="1"/>
    <col min="9731" max="9731" width="13.5546875" style="6" bestFit="1" customWidth="1"/>
    <col min="9732" max="9732" width="7.6640625" style="6" bestFit="1" customWidth="1"/>
    <col min="9733" max="9733" width="10.5546875" style="6" bestFit="1" customWidth="1"/>
    <col min="9734" max="9984" width="8.88671875" style="6"/>
    <col min="9985" max="9985" width="13.5546875" style="6" bestFit="1" customWidth="1"/>
    <col min="9986" max="9986" width="8.5546875" style="6" bestFit="1" customWidth="1"/>
    <col min="9987" max="9987" width="13.5546875" style="6" bestFit="1" customWidth="1"/>
    <col min="9988" max="9988" width="7.6640625" style="6" bestFit="1" customWidth="1"/>
    <col min="9989" max="9989" width="10.5546875" style="6" bestFit="1" customWidth="1"/>
    <col min="9990" max="10240" width="8.88671875" style="6"/>
    <col min="10241" max="10241" width="13.5546875" style="6" bestFit="1" customWidth="1"/>
    <col min="10242" max="10242" width="8.5546875" style="6" bestFit="1" customWidth="1"/>
    <col min="10243" max="10243" width="13.5546875" style="6" bestFit="1" customWidth="1"/>
    <col min="10244" max="10244" width="7.6640625" style="6" bestFit="1" customWidth="1"/>
    <col min="10245" max="10245" width="10.5546875" style="6" bestFit="1" customWidth="1"/>
    <col min="10246" max="10496" width="8.88671875" style="6"/>
    <col min="10497" max="10497" width="13.5546875" style="6" bestFit="1" customWidth="1"/>
    <col min="10498" max="10498" width="8.5546875" style="6" bestFit="1" customWidth="1"/>
    <col min="10499" max="10499" width="13.5546875" style="6" bestFit="1" customWidth="1"/>
    <col min="10500" max="10500" width="7.6640625" style="6" bestFit="1" customWidth="1"/>
    <col min="10501" max="10501" width="10.5546875" style="6" bestFit="1" customWidth="1"/>
    <col min="10502" max="10752" width="8.88671875" style="6"/>
    <col min="10753" max="10753" width="13.5546875" style="6" bestFit="1" customWidth="1"/>
    <col min="10754" max="10754" width="8.5546875" style="6" bestFit="1" customWidth="1"/>
    <col min="10755" max="10755" width="13.5546875" style="6" bestFit="1" customWidth="1"/>
    <col min="10756" max="10756" width="7.6640625" style="6" bestFit="1" customWidth="1"/>
    <col min="10757" max="10757" width="10.5546875" style="6" bestFit="1" customWidth="1"/>
    <col min="10758" max="11008" width="8.88671875" style="6"/>
    <col min="11009" max="11009" width="13.5546875" style="6" bestFit="1" customWidth="1"/>
    <col min="11010" max="11010" width="8.5546875" style="6" bestFit="1" customWidth="1"/>
    <col min="11011" max="11011" width="13.5546875" style="6" bestFit="1" customWidth="1"/>
    <col min="11012" max="11012" width="7.6640625" style="6" bestFit="1" customWidth="1"/>
    <col min="11013" max="11013" width="10.5546875" style="6" bestFit="1" customWidth="1"/>
    <col min="11014" max="11264" width="8.88671875" style="6"/>
    <col min="11265" max="11265" width="13.5546875" style="6" bestFit="1" customWidth="1"/>
    <col min="11266" max="11266" width="8.5546875" style="6" bestFit="1" customWidth="1"/>
    <col min="11267" max="11267" width="13.5546875" style="6" bestFit="1" customWidth="1"/>
    <col min="11268" max="11268" width="7.6640625" style="6" bestFit="1" customWidth="1"/>
    <col min="11269" max="11269" width="10.5546875" style="6" bestFit="1" customWidth="1"/>
    <col min="11270" max="11520" width="8.88671875" style="6"/>
    <col min="11521" max="11521" width="13.5546875" style="6" bestFit="1" customWidth="1"/>
    <col min="11522" max="11522" width="8.5546875" style="6" bestFit="1" customWidth="1"/>
    <col min="11523" max="11523" width="13.5546875" style="6" bestFit="1" customWidth="1"/>
    <col min="11524" max="11524" width="7.6640625" style="6" bestFit="1" customWidth="1"/>
    <col min="11525" max="11525" width="10.5546875" style="6" bestFit="1" customWidth="1"/>
    <col min="11526" max="11776" width="8.88671875" style="6"/>
    <col min="11777" max="11777" width="13.5546875" style="6" bestFit="1" customWidth="1"/>
    <col min="11778" max="11778" width="8.5546875" style="6" bestFit="1" customWidth="1"/>
    <col min="11779" max="11779" width="13.5546875" style="6" bestFit="1" customWidth="1"/>
    <col min="11780" max="11780" width="7.6640625" style="6" bestFit="1" customWidth="1"/>
    <col min="11781" max="11781" width="10.5546875" style="6" bestFit="1" customWidth="1"/>
    <col min="11782" max="12032" width="8.88671875" style="6"/>
    <col min="12033" max="12033" width="13.5546875" style="6" bestFit="1" customWidth="1"/>
    <col min="12034" max="12034" width="8.5546875" style="6" bestFit="1" customWidth="1"/>
    <col min="12035" max="12035" width="13.5546875" style="6" bestFit="1" customWidth="1"/>
    <col min="12036" max="12036" width="7.6640625" style="6" bestFit="1" customWidth="1"/>
    <col min="12037" max="12037" width="10.5546875" style="6" bestFit="1" customWidth="1"/>
    <col min="12038" max="12288" width="8.88671875" style="6"/>
    <col min="12289" max="12289" width="13.5546875" style="6" bestFit="1" customWidth="1"/>
    <col min="12290" max="12290" width="8.5546875" style="6" bestFit="1" customWidth="1"/>
    <col min="12291" max="12291" width="13.5546875" style="6" bestFit="1" customWidth="1"/>
    <col min="12292" max="12292" width="7.6640625" style="6" bestFit="1" customWidth="1"/>
    <col min="12293" max="12293" width="10.5546875" style="6" bestFit="1" customWidth="1"/>
    <col min="12294" max="12544" width="8.88671875" style="6"/>
    <col min="12545" max="12545" width="13.5546875" style="6" bestFit="1" customWidth="1"/>
    <col min="12546" max="12546" width="8.5546875" style="6" bestFit="1" customWidth="1"/>
    <col min="12547" max="12547" width="13.5546875" style="6" bestFit="1" customWidth="1"/>
    <col min="12548" max="12548" width="7.6640625" style="6" bestFit="1" customWidth="1"/>
    <col min="12549" max="12549" width="10.5546875" style="6" bestFit="1" customWidth="1"/>
    <col min="12550" max="12800" width="8.88671875" style="6"/>
    <col min="12801" max="12801" width="13.5546875" style="6" bestFit="1" customWidth="1"/>
    <col min="12802" max="12802" width="8.5546875" style="6" bestFit="1" customWidth="1"/>
    <col min="12803" max="12803" width="13.5546875" style="6" bestFit="1" customWidth="1"/>
    <col min="12804" max="12804" width="7.6640625" style="6" bestFit="1" customWidth="1"/>
    <col min="12805" max="12805" width="10.5546875" style="6" bestFit="1" customWidth="1"/>
    <col min="12806" max="13056" width="8.88671875" style="6"/>
    <col min="13057" max="13057" width="13.5546875" style="6" bestFit="1" customWidth="1"/>
    <col min="13058" max="13058" width="8.5546875" style="6" bestFit="1" customWidth="1"/>
    <col min="13059" max="13059" width="13.5546875" style="6" bestFit="1" customWidth="1"/>
    <col min="13060" max="13060" width="7.6640625" style="6" bestFit="1" customWidth="1"/>
    <col min="13061" max="13061" width="10.5546875" style="6" bestFit="1" customWidth="1"/>
    <col min="13062" max="13312" width="8.88671875" style="6"/>
    <col min="13313" max="13313" width="13.5546875" style="6" bestFit="1" customWidth="1"/>
    <col min="13314" max="13314" width="8.5546875" style="6" bestFit="1" customWidth="1"/>
    <col min="13315" max="13315" width="13.5546875" style="6" bestFit="1" customWidth="1"/>
    <col min="13316" max="13316" width="7.6640625" style="6" bestFit="1" customWidth="1"/>
    <col min="13317" max="13317" width="10.5546875" style="6" bestFit="1" customWidth="1"/>
    <col min="13318" max="13568" width="8.88671875" style="6"/>
    <col min="13569" max="13569" width="13.5546875" style="6" bestFit="1" customWidth="1"/>
    <col min="13570" max="13570" width="8.5546875" style="6" bestFit="1" customWidth="1"/>
    <col min="13571" max="13571" width="13.5546875" style="6" bestFit="1" customWidth="1"/>
    <col min="13572" max="13572" width="7.6640625" style="6" bestFit="1" customWidth="1"/>
    <col min="13573" max="13573" width="10.5546875" style="6" bestFit="1" customWidth="1"/>
    <col min="13574" max="13824" width="8.88671875" style="6"/>
    <col min="13825" max="13825" width="13.5546875" style="6" bestFit="1" customWidth="1"/>
    <col min="13826" max="13826" width="8.5546875" style="6" bestFit="1" customWidth="1"/>
    <col min="13827" max="13827" width="13.5546875" style="6" bestFit="1" customWidth="1"/>
    <col min="13828" max="13828" width="7.6640625" style="6" bestFit="1" customWidth="1"/>
    <col min="13829" max="13829" width="10.5546875" style="6" bestFit="1" customWidth="1"/>
    <col min="13830" max="14080" width="8.88671875" style="6"/>
    <col min="14081" max="14081" width="13.5546875" style="6" bestFit="1" customWidth="1"/>
    <col min="14082" max="14082" width="8.5546875" style="6" bestFit="1" customWidth="1"/>
    <col min="14083" max="14083" width="13.5546875" style="6" bestFit="1" customWidth="1"/>
    <col min="14084" max="14084" width="7.6640625" style="6" bestFit="1" customWidth="1"/>
    <col min="14085" max="14085" width="10.5546875" style="6" bestFit="1" customWidth="1"/>
    <col min="14086" max="14336" width="8.88671875" style="6"/>
    <col min="14337" max="14337" width="13.5546875" style="6" bestFit="1" customWidth="1"/>
    <col min="14338" max="14338" width="8.5546875" style="6" bestFit="1" customWidth="1"/>
    <col min="14339" max="14339" width="13.5546875" style="6" bestFit="1" customWidth="1"/>
    <col min="14340" max="14340" width="7.6640625" style="6" bestFit="1" customWidth="1"/>
    <col min="14341" max="14341" width="10.5546875" style="6" bestFit="1" customWidth="1"/>
    <col min="14342" max="14592" width="8.88671875" style="6"/>
    <col min="14593" max="14593" width="13.5546875" style="6" bestFit="1" customWidth="1"/>
    <col min="14594" max="14594" width="8.5546875" style="6" bestFit="1" customWidth="1"/>
    <col min="14595" max="14595" width="13.5546875" style="6" bestFit="1" customWidth="1"/>
    <col min="14596" max="14596" width="7.6640625" style="6" bestFit="1" customWidth="1"/>
    <col min="14597" max="14597" width="10.5546875" style="6" bestFit="1" customWidth="1"/>
    <col min="14598" max="14848" width="8.88671875" style="6"/>
    <col min="14849" max="14849" width="13.5546875" style="6" bestFit="1" customWidth="1"/>
    <col min="14850" max="14850" width="8.5546875" style="6" bestFit="1" customWidth="1"/>
    <col min="14851" max="14851" width="13.5546875" style="6" bestFit="1" customWidth="1"/>
    <col min="14852" max="14852" width="7.6640625" style="6" bestFit="1" customWidth="1"/>
    <col min="14853" max="14853" width="10.5546875" style="6" bestFit="1" customWidth="1"/>
    <col min="14854" max="15104" width="8.88671875" style="6"/>
    <col min="15105" max="15105" width="13.5546875" style="6" bestFit="1" customWidth="1"/>
    <col min="15106" max="15106" width="8.5546875" style="6" bestFit="1" customWidth="1"/>
    <col min="15107" max="15107" width="13.5546875" style="6" bestFit="1" customWidth="1"/>
    <col min="15108" max="15108" width="7.6640625" style="6" bestFit="1" customWidth="1"/>
    <col min="15109" max="15109" width="10.5546875" style="6" bestFit="1" customWidth="1"/>
    <col min="15110" max="15360" width="8.88671875" style="6"/>
    <col min="15361" max="15361" width="13.5546875" style="6" bestFit="1" customWidth="1"/>
    <col min="15362" max="15362" width="8.5546875" style="6" bestFit="1" customWidth="1"/>
    <col min="15363" max="15363" width="13.5546875" style="6" bestFit="1" customWidth="1"/>
    <col min="15364" max="15364" width="7.6640625" style="6" bestFit="1" customWidth="1"/>
    <col min="15365" max="15365" width="10.5546875" style="6" bestFit="1" customWidth="1"/>
    <col min="15366" max="15616" width="8.88671875" style="6"/>
    <col min="15617" max="15617" width="13.5546875" style="6" bestFit="1" customWidth="1"/>
    <col min="15618" max="15618" width="8.5546875" style="6" bestFit="1" customWidth="1"/>
    <col min="15619" max="15619" width="13.5546875" style="6" bestFit="1" customWidth="1"/>
    <col min="15620" max="15620" width="7.6640625" style="6" bestFit="1" customWidth="1"/>
    <col min="15621" max="15621" width="10.5546875" style="6" bestFit="1" customWidth="1"/>
    <col min="15622" max="15872" width="8.88671875" style="6"/>
    <col min="15873" max="15873" width="13.5546875" style="6" bestFit="1" customWidth="1"/>
    <col min="15874" max="15874" width="8.5546875" style="6" bestFit="1" customWidth="1"/>
    <col min="15875" max="15875" width="13.5546875" style="6" bestFit="1" customWidth="1"/>
    <col min="15876" max="15876" width="7.6640625" style="6" bestFit="1" customWidth="1"/>
    <col min="15877" max="15877" width="10.5546875" style="6" bestFit="1" customWidth="1"/>
    <col min="15878" max="16128" width="8.88671875" style="6"/>
    <col min="16129" max="16129" width="13.5546875" style="6" bestFit="1" customWidth="1"/>
    <col min="16130" max="16130" width="8.5546875" style="6" bestFit="1" customWidth="1"/>
    <col min="16131" max="16131" width="13.5546875" style="6" bestFit="1" customWidth="1"/>
    <col min="16132" max="16132" width="7.6640625" style="6" bestFit="1" customWidth="1"/>
    <col min="16133" max="16133" width="10.5546875" style="6" bestFit="1" customWidth="1"/>
    <col min="16134" max="16384" width="8.88671875" style="6"/>
  </cols>
  <sheetData>
    <row r="1" spans="1:5" x14ac:dyDescent="0.25">
      <c r="A1" s="7" t="s">
        <v>63</v>
      </c>
    </row>
    <row r="2" spans="1:5" x14ac:dyDescent="0.25">
      <c r="A2" s="7" t="s">
        <v>18</v>
      </c>
      <c r="B2" s="7" t="s">
        <v>19</v>
      </c>
      <c r="C2" s="7" t="s">
        <v>20</v>
      </c>
      <c r="D2" s="7" t="s">
        <v>19</v>
      </c>
    </row>
    <row r="3" spans="1:5" x14ac:dyDescent="0.25">
      <c r="A3" s="8" t="s">
        <v>21</v>
      </c>
      <c r="B3" s="9">
        <v>0</v>
      </c>
      <c r="C3" s="8" t="s">
        <v>22</v>
      </c>
      <c r="D3" s="9">
        <v>0</v>
      </c>
    </row>
    <row r="4" spans="1:5" x14ac:dyDescent="0.25">
      <c r="A4" s="8" t="s">
        <v>23</v>
      </c>
      <c r="B4" s="9">
        <v>0</v>
      </c>
      <c r="C4" s="8" t="s">
        <v>24</v>
      </c>
      <c r="D4" s="9">
        <v>0</v>
      </c>
    </row>
    <row r="5" spans="1:5" x14ac:dyDescent="0.25">
      <c r="A5" s="8" t="s">
        <v>25</v>
      </c>
      <c r="B5" s="9">
        <v>0</v>
      </c>
      <c r="C5" s="8" t="s">
        <v>26</v>
      </c>
      <c r="D5" s="9">
        <v>0</v>
      </c>
    </row>
    <row r="6" spans="1:5" x14ac:dyDescent="0.25">
      <c r="A6" s="8" t="s">
        <v>27</v>
      </c>
      <c r="B6" s="10">
        <f>3360+100</f>
        <v>3460</v>
      </c>
      <c r="C6" s="8" t="s">
        <v>28</v>
      </c>
      <c r="D6" s="9">
        <v>0</v>
      </c>
    </row>
    <row r="7" spans="1:5" x14ac:dyDescent="0.25">
      <c r="A7" s="7" t="s">
        <v>29</v>
      </c>
      <c r="B7" s="10">
        <f>SUM(B3:B6)</f>
        <v>3460</v>
      </c>
      <c r="C7" s="7" t="s">
        <v>30</v>
      </c>
      <c r="D7" s="9">
        <v>0</v>
      </c>
      <c r="E7" s="7" t="s">
        <v>58</v>
      </c>
    </row>
    <row r="8" spans="1:5" x14ac:dyDescent="0.25">
      <c r="A8" s="8" t="s">
        <v>31</v>
      </c>
      <c r="B8" s="10">
        <f>1.33+21.68+12651.32+296.4+64448.27</f>
        <v>77419</v>
      </c>
      <c r="C8" s="8" t="s">
        <v>32</v>
      </c>
      <c r="D8" s="9">
        <v>0</v>
      </c>
    </row>
    <row r="9" spans="1:5" x14ac:dyDescent="0.25">
      <c r="A9" s="8" t="s">
        <v>33</v>
      </c>
      <c r="B9" s="10">
        <f>155454</f>
        <v>155454</v>
      </c>
      <c r="C9" s="8" t="s">
        <v>34</v>
      </c>
      <c r="D9" s="9">
        <v>0</v>
      </c>
    </row>
    <row r="10" spans="1:5" x14ac:dyDescent="0.25">
      <c r="A10" s="8" t="s">
        <v>35</v>
      </c>
      <c r="B10" s="10">
        <v>0</v>
      </c>
      <c r="C10" s="8" t="s">
        <v>36</v>
      </c>
      <c r="D10" s="10">
        <f>40000+36800-15-45626+5000+44000-10000</f>
        <v>70159</v>
      </c>
      <c r="E10" s="7" t="s">
        <v>59</v>
      </c>
    </row>
    <row r="11" spans="1:5" x14ac:dyDescent="0.25">
      <c r="A11" s="8" t="s">
        <v>37</v>
      </c>
      <c r="B11" s="10">
        <f>10421</f>
        <v>10421</v>
      </c>
      <c r="C11" s="7" t="s">
        <v>38</v>
      </c>
      <c r="D11" s="10">
        <f>SUM(D8:D10)</f>
        <v>70159</v>
      </c>
    </row>
    <row r="12" spans="1:5" x14ac:dyDescent="0.25">
      <c r="A12" s="8" t="s">
        <v>39</v>
      </c>
      <c r="B12" s="10">
        <f>(4499.13)*(1-100%)</f>
        <v>0</v>
      </c>
      <c r="C12" s="7" t="s">
        <v>40</v>
      </c>
      <c r="D12" s="10">
        <f>D7+D11</f>
        <v>70159</v>
      </c>
    </row>
    <row r="13" spans="1:5" x14ac:dyDescent="0.25">
      <c r="A13" s="7" t="s">
        <v>41</v>
      </c>
      <c r="B13" s="10">
        <f>SUM(B8:B12)</f>
        <v>243294</v>
      </c>
      <c r="C13" s="11"/>
      <c r="D13" s="11"/>
    </row>
    <row r="14" spans="1:5" x14ac:dyDescent="0.25">
      <c r="A14" s="7" t="s">
        <v>42</v>
      </c>
      <c r="B14" s="12">
        <f>B13+B7</f>
        <v>246754</v>
      </c>
      <c r="C14" s="13"/>
      <c r="D14" s="10"/>
    </row>
    <row r="15" spans="1:5" x14ac:dyDescent="0.25">
      <c r="A15" s="7" t="s">
        <v>43</v>
      </c>
      <c r="B15" s="12">
        <f>B14-D12</f>
        <v>176595</v>
      </c>
      <c r="C15" s="13"/>
      <c r="D15" s="10"/>
    </row>
    <row r="16" spans="1:5" x14ac:dyDescent="0.25">
      <c r="A16" s="7" t="s">
        <v>44</v>
      </c>
      <c r="B16" s="15">
        <f>'[1]2013年度'!$B$11</f>
        <v>43515.790000000008</v>
      </c>
      <c r="C16" s="13"/>
      <c r="D16" s="10"/>
    </row>
    <row r="17" spans="1:6" x14ac:dyDescent="0.25">
      <c r="A17" s="7" t="s">
        <v>45</v>
      </c>
      <c r="B17" s="14">
        <f>D12/B14</f>
        <v>0.28432771099961907</v>
      </c>
      <c r="C17" s="9"/>
      <c r="D17" s="9"/>
      <c r="E17" s="16"/>
    </row>
    <row r="18" spans="1:6" x14ac:dyDescent="0.25">
      <c r="A18" s="5" t="s">
        <v>46</v>
      </c>
      <c r="B18" s="17">
        <f>B16/B15</f>
        <v>0.24641575356040663</v>
      </c>
      <c r="C18" s="18"/>
      <c r="D18" s="18"/>
    </row>
    <row r="19" spans="1:6" x14ac:dyDescent="0.25">
      <c r="A19" s="7" t="s">
        <v>64</v>
      </c>
      <c r="B19" s="17"/>
      <c r="C19" s="18"/>
      <c r="D19" s="18"/>
    </row>
    <row r="20" spans="1:6" x14ac:dyDescent="0.25">
      <c r="A20" s="7" t="s">
        <v>65</v>
      </c>
    </row>
    <row r="21" spans="1:6" x14ac:dyDescent="0.25">
      <c r="A21" s="7"/>
    </row>
    <row r="22" spans="1:6" s="18" customFormat="1" ht="15" customHeight="1" x14ac:dyDescent="0.25">
      <c r="A22" s="5"/>
      <c r="B22" s="5" t="s">
        <v>66</v>
      </c>
      <c r="C22" s="22" t="s">
        <v>67</v>
      </c>
      <c r="D22" s="7" t="s">
        <v>68</v>
      </c>
      <c r="E22" s="7" t="s">
        <v>69</v>
      </c>
    </row>
    <row r="23" spans="1:6" s="18" customFormat="1" ht="15" customHeight="1" x14ac:dyDescent="0.25">
      <c r="A23" s="7" t="s">
        <v>42</v>
      </c>
      <c r="B23" s="10">
        <f>B14</f>
        <v>246754</v>
      </c>
      <c r="C23" s="10">
        <f>'[2]2012年度'!B20</f>
        <v>235447.28</v>
      </c>
      <c r="D23" s="10">
        <f>B23-C23</f>
        <v>11306.720000000001</v>
      </c>
      <c r="E23" s="14">
        <f>D23/C23</f>
        <v>4.8022300363801194E-2</v>
      </c>
      <c r="F23" s="23"/>
    </row>
    <row r="24" spans="1:6" s="18" customFormat="1" ht="15" customHeight="1" x14ac:dyDescent="0.25">
      <c r="A24" s="7" t="s">
        <v>43</v>
      </c>
      <c r="B24" s="10">
        <f>B15</f>
        <v>176595</v>
      </c>
      <c r="C24" s="10">
        <f>'[2]2012年度'!B21</f>
        <v>158662.28</v>
      </c>
      <c r="D24" s="10">
        <f>B24-C24</f>
        <v>17932.72</v>
      </c>
      <c r="E24" s="14">
        <f>D24/C24</f>
        <v>0.11302446933196725</v>
      </c>
      <c r="F24" s="23"/>
    </row>
    <row r="25" spans="1:6" s="18" customFormat="1" ht="15" customHeight="1" x14ac:dyDescent="0.25">
      <c r="A25" s="7" t="s">
        <v>44</v>
      </c>
      <c r="B25" s="10">
        <f>B16</f>
        <v>43515.790000000008</v>
      </c>
      <c r="C25" s="10">
        <f>'[2]2012年度'!B22</f>
        <v>40079.648850574711</v>
      </c>
      <c r="D25" s="10">
        <f>B25-C25</f>
        <v>3436.141149425297</v>
      </c>
      <c r="E25" s="14">
        <f>D25/C25</f>
        <v>8.5732815729896925E-2</v>
      </c>
      <c r="F25" s="23"/>
    </row>
    <row r="26" spans="1:6" x14ac:dyDescent="0.25">
      <c r="A26" s="7" t="s">
        <v>70</v>
      </c>
    </row>
    <row r="27" spans="1:6" x14ac:dyDescent="0.25">
      <c r="A27" s="7" t="s">
        <v>18</v>
      </c>
      <c r="B27" s="7" t="s">
        <v>19</v>
      </c>
      <c r="C27" s="7" t="s">
        <v>20</v>
      </c>
      <c r="D27" s="7" t="s">
        <v>19</v>
      </c>
    </row>
    <row r="28" spans="1:6" x14ac:dyDescent="0.25">
      <c r="A28" s="8" t="s">
        <v>21</v>
      </c>
      <c r="B28" s="9">
        <v>0</v>
      </c>
      <c r="C28" s="8" t="s">
        <v>22</v>
      </c>
      <c r="D28" s="9">
        <v>0</v>
      </c>
    </row>
    <row r="29" spans="1:6" x14ac:dyDescent="0.25">
      <c r="A29" s="8" t="s">
        <v>23</v>
      </c>
      <c r="B29" s="9">
        <v>0</v>
      </c>
      <c r="C29" s="8" t="s">
        <v>24</v>
      </c>
      <c r="D29" s="9">
        <v>0</v>
      </c>
    </row>
    <row r="30" spans="1:6" x14ac:dyDescent="0.25">
      <c r="A30" s="8" t="s">
        <v>25</v>
      </c>
      <c r="B30" s="9">
        <v>0</v>
      </c>
      <c r="C30" s="8" t="s">
        <v>26</v>
      </c>
      <c r="D30" s="9">
        <v>0</v>
      </c>
    </row>
    <row r="31" spans="1:6" x14ac:dyDescent="0.25">
      <c r="A31" s="8" t="s">
        <v>27</v>
      </c>
      <c r="B31" s="10">
        <f>760+2720</f>
        <v>3480</v>
      </c>
      <c r="C31" s="8" t="s">
        <v>28</v>
      </c>
      <c r="D31" s="9">
        <v>0</v>
      </c>
    </row>
    <row r="32" spans="1:6" x14ac:dyDescent="0.25">
      <c r="A32" s="7" t="s">
        <v>29</v>
      </c>
      <c r="B32" s="10">
        <f>SUM(B28:B31)</f>
        <v>3480</v>
      </c>
      <c r="C32" s="7" t="s">
        <v>30</v>
      </c>
      <c r="D32" s="9">
        <v>0</v>
      </c>
    </row>
    <row r="33" spans="1:5" x14ac:dyDescent="0.25">
      <c r="A33" s="8" t="s">
        <v>31</v>
      </c>
      <c r="B33" s="10">
        <f>2228.22+0.82+1440.3+73192.84</f>
        <v>76862.179999999993</v>
      </c>
      <c r="C33" s="8" t="s">
        <v>32</v>
      </c>
      <c r="D33" s="9">
        <v>0</v>
      </c>
    </row>
    <row r="34" spans="1:5" x14ac:dyDescent="0.25">
      <c r="A34" s="8" t="s">
        <v>33</v>
      </c>
      <c r="B34" s="10">
        <f>152556</f>
        <v>152556</v>
      </c>
      <c r="C34" s="8" t="s">
        <v>34</v>
      </c>
      <c r="D34" s="9">
        <v>0</v>
      </c>
    </row>
    <row r="35" spans="1:5" x14ac:dyDescent="0.25">
      <c r="A35" s="8" t="s">
        <v>35</v>
      </c>
      <c r="B35" s="10">
        <v>0</v>
      </c>
      <c r="C35" s="8" t="s">
        <v>36</v>
      </c>
      <c r="D35" s="10">
        <f>40000+36800-15-45626+5000+44000</f>
        <v>80159</v>
      </c>
    </row>
    <row r="36" spans="1:5" x14ac:dyDescent="0.25">
      <c r="A36" s="8" t="s">
        <v>37</v>
      </c>
      <c r="B36" s="10">
        <f>5911.84+12*233.6</f>
        <v>8715.0400000000009</v>
      </c>
      <c r="C36" s="7" t="s">
        <v>38</v>
      </c>
      <c r="D36" s="10">
        <f>SUM(D33:D35)</f>
        <v>80159</v>
      </c>
      <c r="E36" s="7" t="s">
        <v>58</v>
      </c>
    </row>
    <row r="37" spans="1:5" x14ac:dyDescent="0.25">
      <c r="A37" s="8" t="s">
        <v>39</v>
      </c>
      <c r="B37" s="10">
        <f>(4499.13)*(1-100%)</f>
        <v>0</v>
      </c>
      <c r="C37" s="7" t="s">
        <v>40</v>
      </c>
      <c r="D37" s="10">
        <f>D32+D36</f>
        <v>80159</v>
      </c>
    </row>
    <row r="38" spans="1:5" x14ac:dyDescent="0.25">
      <c r="A38" s="7" t="s">
        <v>41</v>
      </c>
      <c r="B38" s="10">
        <f>SUM(B33:B37)</f>
        <v>238133.22</v>
      </c>
      <c r="C38" s="11"/>
      <c r="D38" s="11"/>
    </row>
    <row r="39" spans="1:5" x14ac:dyDescent="0.25">
      <c r="A39" s="7" t="s">
        <v>42</v>
      </c>
      <c r="B39" s="12">
        <f>B38+B32</f>
        <v>241613.22</v>
      </c>
      <c r="C39" s="13"/>
      <c r="D39" s="10"/>
    </row>
    <row r="40" spans="1:5" x14ac:dyDescent="0.25">
      <c r="A40" s="7" t="s">
        <v>43</v>
      </c>
      <c r="B40" s="12">
        <f>B39-D37</f>
        <v>161454.22</v>
      </c>
      <c r="C40" s="13"/>
      <c r="D40" s="10"/>
    </row>
    <row r="41" spans="1:5" x14ac:dyDescent="0.25">
      <c r="A41" s="7" t="s">
        <v>44</v>
      </c>
      <c r="B41" s="15">
        <f>'[1]2013年度'!$B$28</f>
        <v>29637.840000000004</v>
      </c>
      <c r="C41" s="13"/>
      <c r="D41" s="10"/>
    </row>
    <row r="42" spans="1:5" x14ac:dyDescent="0.25">
      <c r="A42" s="7" t="s">
        <v>45</v>
      </c>
      <c r="B42" s="14">
        <f>D37/B39</f>
        <v>0.33176578665687251</v>
      </c>
      <c r="C42" s="9"/>
      <c r="D42" s="9"/>
      <c r="E42" s="16"/>
    </row>
    <row r="43" spans="1:5" x14ac:dyDescent="0.25">
      <c r="A43" s="5" t="s">
        <v>46</v>
      </c>
      <c r="B43" s="17">
        <f>B41/B40</f>
        <v>0.18356807273293943</v>
      </c>
      <c r="C43" s="18"/>
      <c r="D43" s="18"/>
    </row>
    <row r="44" spans="1:5" x14ac:dyDescent="0.25">
      <c r="A44" s="7" t="s">
        <v>71</v>
      </c>
      <c r="B44" s="17"/>
      <c r="C44" s="18"/>
      <c r="D44" s="18"/>
    </row>
    <row r="45" spans="1:5" x14ac:dyDescent="0.25">
      <c r="A45" s="7" t="s">
        <v>72</v>
      </c>
      <c r="B45" s="17"/>
      <c r="C45" s="18"/>
      <c r="D45" s="18"/>
    </row>
    <row r="46" spans="1:5" x14ac:dyDescent="0.25">
      <c r="A46" s="7" t="s">
        <v>73</v>
      </c>
      <c r="B46" s="17"/>
      <c r="C46" s="18"/>
      <c r="D46" s="18"/>
    </row>
    <row r="47" spans="1:5" x14ac:dyDescent="0.25">
      <c r="A47" s="7" t="s">
        <v>74</v>
      </c>
    </row>
    <row r="48" spans="1:5" x14ac:dyDescent="0.25">
      <c r="A48" s="7" t="s">
        <v>18</v>
      </c>
      <c r="B48" s="7" t="s">
        <v>19</v>
      </c>
      <c r="C48" s="7" t="s">
        <v>20</v>
      </c>
      <c r="D48" s="7" t="s">
        <v>19</v>
      </c>
    </row>
    <row r="49" spans="1:4" x14ac:dyDescent="0.25">
      <c r="A49" s="8" t="s">
        <v>21</v>
      </c>
      <c r="B49" s="9">
        <v>0</v>
      </c>
      <c r="C49" s="8" t="s">
        <v>22</v>
      </c>
      <c r="D49" s="9">
        <v>0</v>
      </c>
    </row>
    <row r="50" spans="1:4" x14ac:dyDescent="0.25">
      <c r="A50" s="8" t="s">
        <v>23</v>
      </c>
      <c r="B50" s="9">
        <v>0</v>
      </c>
      <c r="C50" s="8" t="s">
        <v>24</v>
      </c>
      <c r="D50" s="9">
        <v>0</v>
      </c>
    </row>
    <row r="51" spans="1:4" x14ac:dyDescent="0.25">
      <c r="A51" s="8" t="s">
        <v>25</v>
      </c>
      <c r="B51" s="9">
        <v>0</v>
      </c>
      <c r="C51" s="8" t="s">
        <v>26</v>
      </c>
      <c r="D51" s="9">
        <v>0</v>
      </c>
    </row>
    <row r="52" spans="1:4" x14ac:dyDescent="0.25">
      <c r="A52" s="8" t="s">
        <v>27</v>
      </c>
      <c r="B52" s="10">
        <f>760+2720</f>
        <v>3480</v>
      </c>
      <c r="C52" s="8" t="s">
        <v>28</v>
      </c>
      <c r="D52" s="9">
        <v>0</v>
      </c>
    </row>
    <row r="53" spans="1:4" x14ac:dyDescent="0.25">
      <c r="A53" s="7" t="s">
        <v>29</v>
      </c>
      <c r="B53" s="10">
        <f>SUM(B49:B52)</f>
        <v>3480</v>
      </c>
      <c r="C53" s="7" t="s">
        <v>30</v>
      </c>
      <c r="D53" s="9">
        <v>0</v>
      </c>
    </row>
    <row r="54" spans="1:4" x14ac:dyDescent="0.25">
      <c r="A54" s="8" t="s">
        <v>31</v>
      </c>
      <c r="B54" s="10">
        <f>21166.49+58.82+700+3251.43+23054.36</f>
        <v>48231.100000000006</v>
      </c>
      <c r="C54" s="8" t="s">
        <v>32</v>
      </c>
      <c r="D54" s="9">
        <v>0</v>
      </c>
    </row>
    <row r="55" spans="1:4" x14ac:dyDescent="0.25">
      <c r="A55" s="8" t="s">
        <v>33</v>
      </c>
      <c r="B55" s="10">
        <f>152556</f>
        <v>152556</v>
      </c>
      <c r="C55" s="8" t="s">
        <v>34</v>
      </c>
      <c r="D55" s="9">
        <v>0</v>
      </c>
    </row>
    <row r="56" spans="1:4" x14ac:dyDescent="0.25">
      <c r="A56" s="8" t="s">
        <v>35</v>
      </c>
      <c r="B56" s="10">
        <v>0</v>
      </c>
      <c r="C56" s="8" t="s">
        <v>36</v>
      </c>
      <c r="D56" s="10">
        <f>40000+36800-15-45626+5000</f>
        <v>36159</v>
      </c>
    </row>
    <row r="57" spans="1:4" x14ac:dyDescent="0.25">
      <c r="A57" s="8" t="s">
        <v>37</v>
      </c>
      <c r="B57" s="10">
        <f>5911.84+12*233.6</f>
        <v>8715.0400000000009</v>
      </c>
      <c r="C57" s="7" t="s">
        <v>38</v>
      </c>
      <c r="D57" s="10">
        <f>SUM(D54:D56)</f>
        <v>36159</v>
      </c>
    </row>
    <row r="58" spans="1:4" x14ac:dyDescent="0.25">
      <c r="A58" s="8" t="s">
        <v>39</v>
      </c>
      <c r="B58" s="24">
        <f>(43914-6348-12788-23054.36)*(1-100%)</f>
        <v>0</v>
      </c>
      <c r="C58" s="7" t="s">
        <v>40</v>
      </c>
      <c r="D58" s="10">
        <f>D53+D57</f>
        <v>36159</v>
      </c>
    </row>
    <row r="59" spans="1:4" x14ac:dyDescent="0.25">
      <c r="A59" s="7" t="s">
        <v>41</v>
      </c>
      <c r="B59" s="10">
        <f>SUM(B54:B58)</f>
        <v>209502.14</v>
      </c>
      <c r="C59" s="11"/>
      <c r="D59" s="11"/>
    </row>
    <row r="60" spans="1:4" x14ac:dyDescent="0.25">
      <c r="A60" s="7" t="s">
        <v>42</v>
      </c>
      <c r="B60" s="12">
        <f>B59+B53</f>
        <v>212982.14</v>
      </c>
      <c r="C60" s="13"/>
      <c r="D60" s="10"/>
    </row>
    <row r="61" spans="1:4" x14ac:dyDescent="0.25">
      <c r="A61" s="7" t="s">
        <v>43</v>
      </c>
      <c r="B61" s="12">
        <f>B60-D58</f>
        <v>176823.14</v>
      </c>
      <c r="C61" s="13"/>
      <c r="D61" s="10"/>
    </row>
    <row r="62" spans="1:4" x14ac:dyDescent="0.25">
      <c r="A62" s="7" t="s">
        <v>44</v>
      </c>
      <c r="B62" s="15">
        <f>'[1]2013年度'!$B$41</f>
        <v>30658.300000000003</v>
      </c>
      <c r="C62" s="13"/>
      <c r="D62" s="10"/>
    </row>
    <row r="63" spans="1:4" x14ac:dyDescent="0.25">
      <c r="A63" s="7" t="s">
        <v>45</v>
      </c>
      <c r="B63" s="14">
        <f>D58/B60</f>
        <v>0.169774798957321</v>
      </c>
      <c r="C63" s="9"/>
      <c r="D63" s="9"/>
    </row>
    <row r="64" spans="1:4" x14ac:dyDescent="0.25">
      <c r="A64" s="5" t="s">
        <v>46</v>
      </c>
      <c r="B64" s="17">
        <f>B62/B61</f>
        <v>0.17338398130470933</v>
      </c>
      <c r="C64" s="18"/>
      <c r="D64" s="18"/>
    </row>
    <row r="65" spans="1:6" x14ac:dyDescent="0.25">
      <c r="A65" s="7" t="s">
        <v>75</v>
      </c>
      <c r="B65" s="17"/>
      <c r="C65" s="18"/>
      <c r="D65" s="18"/>
    </row>
    <row r="66" spans="1:6" x14ac:dyDescent="0.25">
      <c r="A66" s="5" t="s">
        <v>76</v>
      </c>
    </row>
    <row r="67" spans="1:6" x14ac:dyDescent="0.25">
      <c r="A67" s="5" t="s">
        <v>77</v>
      </c>
    </row>
    <row r="68" spans="1:6" x14ac:dyDescent="0.25">
      <c r="A68" s="5" t="s">
        <v>78</v>
      </c>
      <c r="B68" s="17"/>
      <c r="C68" s="18"/>
      <c r="D68" s="18"/>
    </row>
    <row r="69" spans="1:6" x14ac:dyDescent="0.25">
      <c r="A69" s="5" t="s">
        <v>79</v>
      </c>
      <c r="B69" s="17"/>
      <c r="C69" s="18"/>
      <c r="D69" s="18"/>
    </row>
    <row r="70" spans="1:6" x14ac:dyDescent="0.25">
      <c r="A70" s="5"/>
      <c r="B70" s="17"/>
      <c r="C70" s="18"/>
      <c r="D70" s="18"/>
    </row>
    <row r="71" spans="1:6" x14ac:dyDescent="0.25">
      <c r="A71" s="7" t="s">
        <v>80</v>
      </c>
    </row>
    <row r="72" spans="1:6" x14ac:dyDescent="0.25">
      <c r="A72" s="7" t="s">
        <v>18</v>
      </c>
      <c r="B72" s="7" t="s">
        <v>19</v>
      </c>
      <c r="C72" s="7" t="s">
        <v>20</v>
      </c>
      <c r="D72" s="7" t="s">
        <v>19</v>
      </c>
    </row>
    <row r="73" spans="1:6" x14ac:dyDescent="0.25">
      <c r="A73" s="8" t="s">
        <v>21</v>
      </c>
      <c r="B73" s="9">
        <v>0</v>
      </c>
      <c r="C73" s="8" t="s">
        <v>22</v>
      </c>
      <c r="D73" s="9">
        <v>0</v>
      </c>
    </row>
    <row r="74" spans="1:6" x14ac:dyDescent="0.25">
      <c r="A74" s="8" t="s">
        <v>23</v>
      </c>
      <c r="B74" s="9">
        <v>0</v>
      </c>
      <c r="C74" s="8" t="s">
        <v>24</v>
      </c>
      <c r="D74" s="9">
        <v>0</v>
      </c>
    </row>
    <row r="75" spans="1:6" x14ac:dyDescent="0.25">
      <c r="A75" s="8" t="s">
        <v>25</v>
      </c>
      <c r="B75" s="9">
        <v>0</v>
      </c>
      <c r="C75" s="8" t="s">
        <v>26</v>
      </c>
      <c r="D75" s="9">
        <v>0</v>
      </c>
    </row>
    <row r="76" spans="1:6" x14ac:dyDescent="0.25">
      <c r="A76" s="8" t="s">
        <v>27</v>
      </c>
      <c r="B76" s="10">
        <v>2720</v>
      </c>
      <c r="C76" s="8" t="s">
        <v>28</v>
      </c>
      <c r="D76" s="9">
        <v>0</v>
      </c>
    </row>
    <row r="77" spans="1:6" x14ac:dyDescent="0.25">
      <c r="A77" s="7" t="s">
        <v>29</v>
      </c>
      <c r="B77" s="10">
        <f>SUM(B73:B76)</f>
        <v>2720</v>
      </c>
      <c r="C77" s="7" t="s">
        <v>30</v>
      </c>
      <c r="D77" s="9">
        <v>0</v>
      </c>
    </row>
    <row r="78" spans="1:6" x14ac:dyDescent="0.25">
      <c r="A78" s="8" t="s">
        <v>31</v>
      </c>
      <c r="B78" s="10">
        <f>8372+5000+400</f>
        <v>13772</v>
      </c>
      <c r="C78" s="8" t="s">
        <v>32</v>
      </c>
      <c r="D78" s="9">
        <v>0</v>
      </c>
      <c r="F78" s="6">
        <f>3360-760</f>
        <v>2600</v>
      </c>
    </row>
    <row r="79" spans="1:6" x14ac:dyDescent="0.25">
      <c r="A79" s="8" t="s">
        <v>33</v>
      </c>
      <c r="B79" s="10">
        <v>163459.18</v>
      </c>
      <c r="C79" s="8" t="s">
        <v>34</v>
      </c>
      <c r="D79" s="9">
        <v>0</v>
      </c>
    </row>
    <row r="80" spans="1:6" x14ac:dyDescent="0.25">
      <c r="A80" s="8" t="s">
        <v>35</v>
      </c>
      <c r="B80" s="10">
        <v>0</v>
      </c>
      <c r="C80" s="8" t="s">
        <v>36</v>
      </c>
      <c r="D80" s="10">
        <f>40000+36800-15-45626+5000</f>
        <v>36159</v>
      </c>
      <c r="E80" s="7" t="s">
        <v>58</v>
      </c>
    </row>
    <row r="81" spans="1:4" x14ac:dyDescent="0.25">
      <c r="A81" s="8" t="s">
        <v>37</v>
      </c>
      <c r="B81" s="10">
        <f>5911.84+12*233.6</f>
        <v>8715.0400000000009</v>
      </c>
      <c r="C81" s="7" t="s">
        <v>38</v>
      </c>
      <c r="D81" s="10">
        <f>SUM(D78:D80)</f>
        <v>36159</v>
      </c>
    </row>
    <row r="82" spans="1:4" x14ac:dyDescent="0.25">
      <c r="A82" s="8" t="s">
        <v>39</v>
      </c>
      <c r="B82" s="24">
        <f>(43914-6348)*(1-100%)</f>
        <v>0</v>
      </c>
      <c r="C82" s="7" t="s">
        <v>40</v>
      </c>
      <c r="D82" s="10">
        <f>D77+D81</f>
        <v>36159</v>
      </c>
    </row>
    <row r="83" spans="1:4" x14ac:dyDescent="0.25">
      <c r="A83" s="7" t="s">
        <v>41</v>
      </c>
      <c r="B83" s="10">
        <f>SUM(B78:B82)</f>
        <v>185946.22</v>
      </c>
      <c r="C83" s="11"/>
      <c r="D83" s="11"/>
    </row>
    <row r="84" spans="1:4" x14ac:dyDescent="0.25">
      <c r="A84" s="7" t="s">
        <v>42</v>
      </c>
      <c r="B84" s="12">
        <f>B83+B77</f>
        <v>188666.22</v>
      </c>
      <c r="C84" s="13"/>
      <c r="D84" s="10"/>
    </row>
    <row r="85" spans="1:4" x14ac:dyDescent="0.25">
      <c r="A85" s="7" t="s">
        <v>43</v>
      </c>
      <c r="B85" s="12">
        <f>B84-D82</f>
        <v>152507.22</v>
      </c>
      <c r="C85" s="13"/>
      <c r="D85" s="10"/>
    </row>
    <row r="86" spans="1:4" x14ac:dyDescent="0.25">
      <c r="A86" s="7" t="s">
        <v>44</v>
      </c>
      <c r="B86" s="15">
        <f>'[1]2013年度'!$B$55</f>
        <v>1248</v>
      </c>
      <c r="C86" s="13"/>
      <c r="D86" s="10"/>
    </row>
    <row r="87" spans="1:4" x14ac:dyDescent="0.25">
      <c r="A87" s="7" t="s">
        <v>45</v>
      </c>
      <c r="B87" s="14">
        <f>D82/B84</f>
        <v>0.19165593077552515</v>
      </c>
      <c r="C87" s="9"/>
      <c r="D87" s="9"/>
    </row>
    <row r="88" spans="1:4" x14ac:dyDescent="0.25">
      <c r="A88" s="5" t="s">
        <v>46</v>
      </c>
      <c r="B88" s="17">
        <f>B86/B85</f>
        <v>8.1832191289041914E-3</v>
      </c>
      <c r="C88" s="18"/>
      <c r="D88" s="18"/>
    </row>
    <row r="89" spans="1:4" x14ac:dyDescent="0.25">
      <c r="A89" s="7" t="s">
        <v>71</v>
      </c>
    </row>
    <row r="90" spans="1:4" x14ac:dyDescent="0.25">
      <c r="A90" s="5" t="s">
        <v>81</v>
      </c>
    </row>
    <row r="91" spans="1:4" x14ac:dyDescent="0.25">
      <c r="A91" s="5" t="s">
        <v>82</v>
      </c>
    </row>
    <row r="92" spans="1:4" x14ac:dyDescent="0.25">
      <c r="A92" s="7" t="s">
        <v>83</v>
      </c>
    </row>
    <row r="93" spans="1:4" x14ac:dyDescent="0.25">
      <c r="A93" s="5" t="s">
        <v>84</v>
      </c>
    </row>
    <row r="94" spans="1:4" x14ac:dyDescent="0.25">
      <c r="B94" s="6">
        <v>12696</v>
      </c>
    </row>
    <row r="95" spans="1:4" x14ac:dyDescent="0.25">
      <c r="B95" s="6">
        <v>92</v>
      </c>
    </row>
    <row r="96" spans="1:4" x14ac:dyDescent="0.25">
      <c r="B96" s="6">
        <v>6348</v>
      </c>
    </row>
    <row r="97" spans="2:3" x14ac:dyDescent="0.25">
      <c r="B97" s="6">
        <v>23054.36</v>
      </c>
      <c r="C97" s="6">
        <v>23054.36</v>
      </c>
    </row>
    <row r="98" spans="2:3" x14ac:dyDescent="0.25">
      <c r="B98" s="6">
        <f>SUM(B94:B97)</f>
        <v>42190.36</v>
      </c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6C4C0-5DEF-4F32-B57E-636A475EFFE5}">
  <dimension ref="A1:F103"/>
  <sheetViews>
    <sheetView topLeftCell="A25" workbookViewId="0">
      <selection activeCell="B13" sqref="B13"/>
    </sheetView>
  </sheetViews>
  <sheetFormatPr defaultColWidth="10" defaultRowHeight="15" x14ac:dyDescent="0.25"/>
  <cols>
    <col min="1" max="1" width="12.77734375" style="18" customWidth="1"/>
    <col min="2" max="2" width="8.5546875" style="18" bestFit="1" customWidth="1"/>
    <col min="3" max="3" width="13.5546875" style="18" bestFit="1" customWidth="1"/>
    <col min="4" max="4" width="7.6640625" style="18" bestFit="1" customWidth="1"/>
    <col min="5" max="5" width="7.44140625" style="18" bestFit="1" customWidth="1"/>
    <col min="6" max="256" width="10" style="18"/>
    <col min="257" max="257" width="12.77734375" style="18" customWidth="1"/>
    <col min="258" max="258" width="8.5546875" style="18" bestFit="1" customWidth="1"/>
    <col min="259" max="259" width="13.5546875" style="18" bestFit="1" customWidth="1"/>
    <col min="260" max="260" width="7.6640625" style="18" bestFit="1" customWidth="1"/>
    <col min="261" max="261" width="7.44140625" style="18" bestFit="1" customWidth="1"/>
    <col min="262" max="512" width="10" style="18"/>
    <col min="513" max="513" width="12.77734375" style="18" customWidth="1"/>
    <col min="514" max="514" width="8.5546875" style="18" bestFit="1" customWidth="1"/>
    <col min="515" max="515" width="13.5546875" style="18" bestFit="1" customWidth="1"/>
    <col min="516" max="516" width="7.6640625" style="18" bestFit="1" customWidth="1"/>
    <col min="517" max="517" width="7.44140625" style="18" bestFit="1" customWidth="1"/>
    <col min="518" max="768" width="10" style="18"/>
    <col min="769" max="769" width="12.77734375" style="18" customWidth="1"/>
    <col min="770" max="770" width="8.5546875" style="18" bestFit="1" customWidth="1"/>
    <col min="771" max="771" width="13.5546875" style="18" bestFit="1" customWidth="1"/>
    <col min="772" max="772" width="7.6640625" style="18" bestFit="1" customWidth="1"/>
    <col min="773" max="773" width="7.44140625" style="18" bestFit="1" customWidth="1"/>
    <col min="774" max="1024" width="10" style="18"/>
    <col min="1025" max="1025" width="12.77734375" style="18" customWidth="1"/>
    <col min="1026" max="1026" width="8.5546875" style="18" bestFit="1" customWidth="1"/>
    <col min="1027" max="1027" width="13.5546875" style="18" bestFit="1" customWidth="1"/>
    <col min="1028" max="1028" width="7.6640625" style="18" bestFit="1" customWidth="1"/>
    <col min="1029" max="1029" width="7.44140625" style="18" bestFit="1" customWidth="1"/>
    <col min="1030" max="1280" width="10" style="18"/>
    <col min="1281" max="1281" width="12.77734375" style="18" customWidth="1"/>
    <col min="1282" max="1282" width="8.5546875" style="18" bestFit="1" customWidth="1"/>
    <col min="1283" max="1283" width="13.5546875" style="18" bestFit="1" customWidth="1"/>
    <col min="1284" max="1284" width="7.6640625" style="18" bestFit="1" customWidth="1"/>
    <col min="1285" max="1285" width="7.44140625" style="18" bestFit="1" customWidth="1"/>
    <col min="1286" max="1536" width="10" style="18"/>
    <col min="1537" max="1537" width="12.77734375" style="18" customWidth="1"/>
    <col min="1538" max="1538" width="8.5546875" style="18" bestFit="1" customWidth="1"/>
    <col min="1539" max="1539" width="13.5546875" style="18" bestFit="1" customWidth="1"/>
    <col min="1540" max="1540" width="7.6640625" style="18" bestFit="1" customWidth="1"/>
    <col min="1541" max="1541" width="7.44140625" style="18" bestFit="1" customWidth="1"/>
    <col min="1542" max="1792" width="10" style="18"/>
    <col min="1793" max="1793" width="12.77734375" style="18" customWidth="1"/>
    <col min="1794" max="1794" width="8.5546875" style="18" bestFit="1" customWidth="1"/>
    <col min="1795" max="1795" width="13.5546875" style="18" bestFit="1" customWidth="1"/>
    <col min="1796" max="1796" width="7.6640625" style="18" bestFit="1" customWidth="1"/>
    <col min="1797" max="1797" width="7.44140625" style="18" bestFit="1" customWidth="1"/>
    <col min="1798" max="2048" width="10" style="18"/>
    <col min="2049" max="2049" width="12.77734375" style="18" customWidth="1"/>
    <col min="2050" max="2050" width="8.5546875" style="18" bestFit="1" customWidth="1"/>
    <col min="2051" max="2051" width="13.5546875" style="18" bestFit="1" customWidth="1"/>
    <col min="2052" max="2052" width="7.6640625" style="18" bestFit="1" customWidth="1"/>
    <col min="2053" max="2053" width="7.44140625" style="18" bestFit="1" customWidth="1"/>
    <col min="2054" max="2304" width="10" style="18"/>
    <col min="2305" max="2305" width="12.77734375" style="18" customWidth="1"/>
    <col min="2306" max="2306" width="8.5546875" style="18" bestFit="1" customWidth="1"/>
    <col min="2307" max="2307" width="13.5546875" style="18" bestFit="1" customWidth="1"/>
    <col min="2308" max="2308" width="7.6640625" style="18" bestFit="1" customWidth="1"/>
    <col min="2309" max="2309" width="7.44140625" style="18" bestFit="1" customWidth="1"/>
    <col min="2310" max="2560" width="10" style="18"/>
    <col min="2561" max="2561" width="12.77734375" style="18" customWidth="1"/>
    <col min="2562" max="2562" width="8.5546875" style="18" bestFit="1" customWidth="1"/>
    <col min="2563" max="2563" width="13.5546875" style="18" bestFit="1" customWidth="1"/>
    <col min="2564" max="2564" width="7.6640625" style="18" bestFit="1" customWidth="1"/>
    <col min="2565" max="2565" width="7.44140625" style="18" bestFit="1" customWidth="1"/>
    <col min="2566" max="2816" width="10" style="18"/>
    <col min="2817" max="2817" width="12.77734375" style="18" customWidth="1"/>
    <col min="2818" max="2818" width="8.5546875" style="18" bestFit="1" customWidth="1"/>
    <col min="2819" max="2819" width="13.5546875" style="18" bestFit="1" customWidth="1"/>
    <col min="2820" max="2820" width="7.6640625" style="18" bestFit="1" customWidth="1"/>
    <col min="2821" max="2821" width="7.44140625" style="18" bestFit="1" customWidth="1"/>
    <col min="2822" max="3072" width="10" style="18"/>
    <col min="3073" max="3073" width="12.77734375" style="18" customWidth="1"/>
    <col min="3074" max="3074" width="8.5546875" style="18" bestFit="1" customWidth="1"/>
    <col min="3075" max="3075" width="13.5546875" style="18" bestFit="1" customWidth="1"/>
    <col min="3076" max="3076" width="7.6640625" style="18" bestFit="1" customWidth="1"/>
    <col min="3077" max="3077" width="7.44140625" style="18" bestFit="1" customWidth="1"/>
    <col min="3078" max="3328" width="10" style="18"/>
    <col min="3329" max="3329" width="12.77734375" style="18" customWidth="1"/>
    <col min="3330" max="3330" width="8.5546875" style="18" bestFit="1" customWidth="1"/>
    <col min="3331" max="3331" width="13.5546875" style="18" bestFit="1" customWidth="1"/>
    <col min="3332" max="3332" width="7.6640625" style="18" bestFit="1" customWidth="1"/>
    <col min="3333" max="3333" width="7.44140625" style="18" bestFit="1" customWidth="1"/>
    <col min="3334" max="3584" width="10" style="18"/>
    <col min="3585" max="3585" width="12.77734375" style="18" customWidth="1"/>
    <col min="3586" max="3586" width="8.5546875" style="18" bestFit="1" customWidth="1"/>
    <col min="3587" max="3587" width="13.5546875" style="18" bestFit="1" customWidth="1"/>
    <col min="3588" max="3588" width="7.6640625" style="18" bestFit="1" customWidth="1"/>
    <col min="3589" max="3589" width="7.44140625" style="18" bestFit="1" customWidth="1"/>
    <col min="3590" max="3840" width="10" style="18"/>
    <col min="3841" max="3841" width="12.77734375" style="18" customWidth="1"/>
    <col min="3842" max="3842" width="8.5546875" style="18" bestFit="1" customWidth="1"/>
    <col min="3843" max="3843" width="13.5546875" style="18" bestFit="1" customWidth="1"/>
    <col min="3844" max="3844" width="7.6640625" style="18" bestFit="1" customWidth="1"/>
    <col min="3845" max="3845" width="7.44140625" style="18" bestFit="1" customWidth="1"/>
    <col min="3846" max="4096" width="10" style="18"/>
    <col min="4097" max="4097" width="12.77734375" style="18" customWidth="1"/>
    <col min="4098" max="4098" width="8.5546875" style="18" bestFit="1" customWidth="1"/>
    <col min="4099" max="4099" width="13.5546875" style="18" bestFit="1" customWidth="1"/>
    <col min="4100" max="4100" width="7.6640625" style="18" bestFit="1" customWidth="1"/>
    <col min="4101" max="4101" width="7.44140625" style="18" bestFit="1" customWidth="1"/>
    <col min="4102" max="4352" width="10" style="18"/>
    <col min="4353" max="4353" width="12.77734375" style="18" customWidth="1"/>
    <col min="4354" max="4354" width="8.5546875" style="18" bestFit="1" customWidth="1"/>
    <col min="4355" max="4355" width="13.5546875" style="18" bestFit="1" customWidth="1"/>
    <col min="4356" max="4356" width="7.6640625" style="18" bestFit="1" customWidth="1"/>
    <col min="4357" max="4357" width="7.44140625" style="18" bestFit="1" customWidth="1"/>
    <col min="4358" max="4608" width="10" style="18"/>
    <col min="4609" max="4609" width="12.77734375" style="18" customWidth="1"/>
    <col min="4610" max="4610" width="8.5546875" style="18" bestFit="1" customWidth="1"/>
    <col min="4611" max="4611" width="13.5546875" style="18" bestFit="1" customWidth="1"/>
    <col min="4612" max="4612" width="7.6640625" style="18" bestFit="1" customWidth="1"/>
    <col min="4613" max="4613" width="7.44140625" style="18" bestFit="1" customWidth="1"/>
    <col min="4614" max="4864" width="10" style="18"/>
    <col min="4865" max="4865" width="12.77734375" style="18" customWidth="1"/>
    <col min="4866" max="4866" width="8.5546875" style="18" bestFit="1" customWidth="1"/>
    <col min="4867" max="4867" width="13.5546875" style="18" bestFit="1" customWidth="1"/>
    <col min="4868" max="4868" width="7.6640625" style="18" bestFit="1" customWidth="1"/>
    <col min="4869" max="4869" width="7.44140625" style="18" bestFit="1" customWidth="1"/>
    <col min="4870" max="5120" width="10" style="18"/>
    <col min="5121" max="5121" width="12.77734375" style="18" customWidth="1"/>
    <col min="5122" max="5122" width="8.5546875" style="18" bestFit="1" customWidth="1"/>
    <col min="5123" max="5123" width="13.5546875" style="18" bestFit="1" customWidth="1"/>
    <col min="5124" max="5124" width="7.6640625" style="18" bestFit="1" customWidth="1"/>
    <col min="5125" max="5125" width="7.44140625" style="18" bestFit="1" customWidth="1"/>
    <col min="5126" max="5376" width="10" style="18"/>
    <col min="5377" max="5377" width="12.77734375" style="18" customWidth="1"/>
    <col min="5378" max="5378" width="8.5546875" style="18" bestFit="1" customWidth="1"/>
    <col min="5379" max="5379" width="13.5546875" style="18" bestFit="1" customWidth="1"/>
    <col min="5380" max="5380" width="7.6640625" style="18" bestFit="1" customWidth="1"/>
    <col min="5381" max="5381" width="7.44140625" style="18" bestFit="1" customWidth="1"/>
    <col min="5382" max="5632" width="10" style="18"/>
    <col min="5633" max="5633" width="12.77734375" style="18" customWidth="1"/>
    <col min="5634" max="5634" width="8.5546875" style="18" bestFit="1" customWidth="1"/>
    <col min="5635" max="5635" width="13.5546875" style="18" bestFit="1" customWidth="1"/>
    <col min="5636" max="5636" width="7.6640625" style="18" bestFit="1" customWidth="1"/>
    <col min="5637" max="5637" width="7.44140625" style="18" bestFit="1" customWidth="1"/>
    <col min="5638" max="5888" width="10" style="18"/>
    <col min="5889" max="5889" width="12.77734375" style="18" customWidth="1"/>
    <col min="5890" max="5890" width="8.5546875" style="18" bestFit="1" customWidth="1"/>
    <col min="5891" max="5891" width="13.5546875" style="18" bestFit="1" customWidth="1"/>
    <col min="5892" max="5892" width="7.6640625" style="18" bestFit="1" customWidth="1"/>
    <col min="5893" max="5893" width="7.44140625" style="18" bestFit="1" customWidth="1"/>
    <col min="5894" max="6144" width="10" style="18"/>
    <col min="6145" max="6145" width="12.77734375" style="18" customWidth="1"/>
    <col min="6146" max="6146" width="8.5546875" style="18" bestFit="1" customWidth="1"/>
    <col min="6147" max="6147" width="13.5546875" style="18" bestFit="1" customWidth="1"/>
    <col min="6148" max="6148" width="7.6640625" style="18" bestFit="1" customWidth="1"/>
    <col min="6149" max="6149" width="7.44140625" style="18" bestFit="1" customWidth="1"/>
    <col min="6150" max="6400" width="10" style="18"/>
    <col min="6401" max="6401" width="12.77734375" style="18" customWidth="1"/>
    <col min="6402" max="6402" width="8.5546875" style="18" bestFit="1" customWidth="1"/>
    <col min="6403" max="6403" width="13.5546875" style="18" bestFit="1" customWidth="1"/>
    <col min="6404" max="6404" width="7.6640625" style="18" bestFit="1" customWidth="1"/>
    <col min="6405" max="6405" width="7.44140625" style="18" bestFit="1" customWidth="1"/>
    <col min="6406" max="6656" width="10" style="18"/>
    <col min="6657" max="6657" width="12.77734375" style="18" customWidth="1"/>
    <col min="6658" max="6658" width="8.5546875" style="18" bestFit="1" customWidth="1"/>
    <col min="6659" max="6659" width="13.5546875" style="18" bestFit="1" customWidth="1"/>
    <col min="6660" max="6660" width="7.6640625" style="18" bestFit="1" customWidth="1"/>
    <col min="6661" max="6661" width="7.44140625" style="18" bestFit="1" customWidth="1"/>
    <col min="6662" max="6912" width="10" style="18"/>
    <col min="6913" max="6913" width="12.77734375" style="18" customWidth="1"/>
    <col min="6914" max="6914" width="8.5546875" style="18" bestFit="1" customWidth="1"/>
    <col min="6915" max="6915" width="13.5546875" style="18" bestFit="1" customWidth="1"/>
    <col min="6916" max="6916" width="7.6640625" style="18" bestFit="1" customWidth="1"/>
    <col min="6917" max="6917" width="7.44140625" style="18" bestFit="1" customWidth="1"/>
    <col min="6918" max="7168" width="10" style="18"/>
    <col min="7169" max="7169" width="12.77734375" style="18" customWidth="1"/>
    <col min="7170" max="7170" width="8.5546875" style="18" bestFit="1" customWidth="1"/>
    <col min="7171" max="7171" width="13.5546875" style="18" bestFit="1" customWidth="1"/>
    <col min="7172" max="7172" width="7.6640625" style="18" bestFit="1" customWidth="1"/>
    <col min="7173" max="7173" width="7.44140625" style="18" bestFit="1" customWidth="1"/>
    <col min="7174" max="7424" width="10" style="18"/>
    <col min="7425" max="7425" width="12.77734375" style="18" customWidth="1"/>
    <col min="7426" max="7426" width="8.5546875" style="18" bestFit="1" customWidth="1"/>
    <col min="7427" max="7427" width="13.5546875" style="18" bestFit="1" customWidth="1"/>
    <col min="7428" max="7428" width="7.6640625" style="18" bestFit="1" customWidth="1"/>
    <col min="7429" max="7429" width="7.44140625" style="18" bestFit="1" customWidth="1"/>
    <col min="7430" max="7680" width="10" style="18"/>
    <col min="7681" max="7681" width="12.77734375" style="18" customWidth="1"/>
    <col min="7682" max="7682" width="8.5546875" style="18" bestFit="1" customWidth="1"/>
    <col min="7683" max="7683" width="13.5546875" style="18" bestFit="1" customWidth="1"/>
    <col min="7684" max="7684" width="7.6640625" style="18" bestFit="1" customWidth="1"/>
    <col min="7685" max="7685" width="7.44140625" style="18" bestFit="1" customWidth="1"/>
    <col min="7686" max="7936" width="10" style="18"/>
    <col min="7937" max="7937" width="12.77734375" style="18" customWidth="1"/>
    <col min="7938" max="7938" width="8.5546875" style="18" bestFit="1" customWidth="1"/>
    <col min="7939" max="7939" width="13.5546875" style="18" bestFit="1" customWidth="1"/>
    <col min="7940" max="7940" width="7.6640625" style="18" bestFit="1" customWidth="1"/>
    <col min="7941" max="7941" width="7.44140625" style="18" bestFit="1" customWidth="1"/>
    <col min="7942" max="8192" width="10" style="18"/>
    <col min="8193" max="8193" width="12.77734375" style="18" customWidth="1"/>
    <col min="8194" max="8194" width="8.5546875" style="18" bestFit="1" customWidth="1"/>
    <col min="8195" max="8195" width="13.5546875" style="18" bestFit="1" customWidth="1"/>
    <col min="8196" max="8196" width="7.6640625" style="18" bestFit="1" customWidth="1"/>
    <col min="8197" max="8197" width="7.44140625" style="18" bestFit="1" customWidth="1"/>
    <col min="8198" max="8448" width="10" style="18"/>
    <col min="8449" max="8449" width="12.77734375" style="18" customWidth="1"/>
    <col min="8450" max="8450" width="8.5546875" style="18" bestFit="1" customWidth="1"/>
    <col min="8451" max="8451" width="13.5546875" style="18" bestFit="1" customWidth="1"/>
    <col min="8452" max="8452" width="7.6640625" style="18" bestFit="1" customWidth="1"/>
    <col min="8453" max="8453" width="7.44140625" style="18" bestFit="1" customWidth="1"/>
    <col min="8454" max="8704" width="10" style="18"/>
    <col min="8705" max="8705" width="12.77734375" style="18" customWidth="1"/>
    <col min="8706" max="8706" width="8.5546875" style="18" bestFit="1" customWidth="1"/>
    <col min="8707" max="8707" width="13.5546875" style="18" bestFit="1" customWidth="1"/>
    <col min="8708" max="8708" width="7.6640625" style="18" bestFit="1" customWidth="1"/>
    <col min="8709" max="8709" width="7.44140625" style="18" bestFit="1" customWidth="1"/>
    <col min="8710" max="8960" width="10" style="18"/>
    <col min="8961" max="8961" width="12.77734375" style="18" customWidth="1"/>
    <col min="8962" max="8962" width="8.5546875" style="18" bestFit="1" customWidth="1"/>
    <col min="8963" max="8963" width="13.5546875" style="18" bestFit="1" customWidth="1"/>
    <col min="8964" max="8964" width="7.6640625" style="18" bestFit="1" customWidth="1"/>
    <col min="8965" max="8965" width="7.44140625" style="18" bestFit="1" customWidth="1"/>
    <col min="8966" max="9216" width="10" style="18"/>
    <col min="9217" max="9217" width="12.77734375" style="18" customWidth="1"/>
    <col min="9218" max="9218" width="8.5546875" style="18" bestFit="1" customWidth="1"/>
    <col min="9219" max="9219" width="13.5546875" style="18" bestFit="1" customWidth="1"/>
    <col min="9220" max="9220" width="7.6640625" style="18" bestFit="1" customWidth="1"/>
    <col min="9221" max="9221" width="7.44140625" style="18" bestFit="1" customWidth="1"/>
    <col min="9222" max="9472" width="10" style="18"/>
    <col min="9473" max="9473" width="12.77734375" style="18" customWidth="1"/>
    <col min="9474" max="9474" width="8.5546875" style="18" bestFit="1" customWidth="1"/>
    <col min="9475" max="9475" width="13.5546875" style="18" bestFit="1" customWidth="1"/>
    <col min="9476" max="9476" width="7.6640625" style="18" bestFit="1" customWidth="1"/>
    <col min="9477" max="9477" width="7.44140625" style="18" bestFit="1" customWidth="1"/>
    <col min="9478" max="9728" width="10" style="18"/>
    <col min="9729" max="9729" width="12.77734375" style="18" customWidth="1"/>
    <col min="9730" max="9730" width="8.5546875" style="18" bestFit="1" customWidth="1"/>
    <col min="9731" max="9731" width="13.5546875" style="18" bestFit="1" customWidth="1"/>
    <col min="9732" max="9732" width="7.6640625" style="18" bestFit="1" customWidth="1"/>
    <col min="9733" max="9733" width="7.44140625" style="18" bestFit="1" customWidth="1"/>
    <col min="9734" max="9984" width="10" style="18"/>
    <col min="9985" max="9985" width="12.77734375" style="18" customWidth="1"/>
    <col min="9986" max="9986" width="8.5546875" style="18" bestFit="1" customWidth="1"/>
    <col min="9987" max="9987" width="13.5546875" style="18" bestFit="1" customWidth="1"/>
    <col min="9988" max="9988" width="7.6640625" style="18" bestFit="1" customWidth="1"/>
    <col min="9989" max="9989" width="7.44140625" style="18" bestFit="1" customWidth="1"/>
    <col min="9990" max="10240" width="10" style="18"/>
    <col min="10241" max="10241" width="12.77734375" style="18" customWidth="1"/>
    <col min="10242" max="10242" width="8.5546875" style="18" bestFit="1" customWidth="1"/>
    <col min="10243" max="10243" width="13.5546875" style="18" bestFit="1" customWidth="1"/>
    <col min="10244" max="10244" width="7.6640625" style="18" bestFit="1" customWidth="1"/>
    <col min="10245" max="10245" width="7.44140625" style="18" bestFit="1" customWidth="1"/>
    <col min="10246" max="10496" width="10" style="18"/>
    <col min="10497" max="10497" width="12.77734375" style="18" customWidth="1"/>
    <col min="10498" max="10498" width="8.5546875" style="18" bestFit="1" customWidth="1"/>
    <col min="10499" max="10499" width="13.5546875" style="18" bestFit="1" customWidth="1"/>
    <col min="10500" max="10500" width="7.6640625" style="18" bestFit="1" customWidth="1"/>
    <col min="10501" max="10501" width="7.44140625" style="18" bestFit="1" customWidth="1"/>
    <col min="10502" max="10752" width="10" style="18"/>
    <col min="10753" max="10753" width="12.77734375" style="18" customWidth="1"/>
    <col min="10754" max="10754" width="8.5546875" style="18" bestFit="1" customWidth="1"/>
    <col min="10755" max="10755" width="13.5546875" style="18" bestFit="1" customWidth="1"/>
    <col min="10756" max="10756" width="7.6640625" style="18" bestFit="1" customWidth="1"/>
    <col min="10757" max="10757" width="7.44140625" style="18" bestFit="1" customWidth="1"/>
    <col min="10758" max="11008" width="10" style="18"/>
    <col min="11009" max="11009" width="12.77734375" style="18" customWidth="1"/>
    <col min="11010" max="11010" width="8.5546875" style="18" bestFit="1" customWidth="1"/>
    <col min="11011" max="11011" width="13.5546875" style="18" bestFit="1" customWidth="1"/>
    <col min="11012" max="11012" width="7.6640625" style="18" bestFit="1" customWidth="1"/>
    <col min="11013" max="11013" width="7.44140625" style="18" bestFit="1" customWidth="1"/>
    <col min="11014" max="11264" width="10" style="18"/>
    <col min="11265" max="11265" width="12.77734375" style="18" customWidth="1"/>
    <col min="11266" max="11266" width="8.5546875" style="18" bestFit="1" customWidth="1"/>
    <col min="11267" max="11267" width="13.5546875" style="18" bestFit="1" customWidth="1"/>
    <col min="11268" max="11268" width="7.6640625" style="18" bestFit="1" customWidth="1"/>
    <col min="11269" max="11269" width="7.44140625" style="18" bestFit="1" customWidth="1"/>
    <col min="11270" max="11520" width="10" style="18"/>
    <col min="11521" max="11521" width="12.77734375" style="18" customWidth="1"/>
    <col min="11522" max="11522" width="8.5546875" style="18" bestFit="1" customWidth="1"/>
    <col min="11523" max="11523" width="13.5546875" style="18" bestFit="1" customWidth="1"/>
    <col min="11524" max="11524" width="7.6640625" style="18" bestFit="1" customWidth="1"/>
    <col min="11525" max="11525" width="7.44140625" style="18" bestFit="1" customWidth="1"/>
    <col min="11526" max="11776" width="10" style="18"/>
    <col min="11777" max="11777" width="12.77734375" style="18" customWidth="1"/>
    <col min="11778" max="11778" width="8.5546875" style="18" bestFit="1" customWidth="1"/>
    <col min="11779" max="11779" width="13.5546875" style="18" bestFit="1" customWidth="1"/>
    <col min="11780" max="11780" width="7.6640625" style="18" bestFit="1" customWidth="1"/>
    <col min="11781" max="11781" width="7.44140625" style="18" bestFit="1" customWidth="1"/>
    <col min="11782" max="12032" width="10" style="18"/>
    <col min="12033" max="12033" width="12.77734375" style="18" customWidth="1"/>
    <col min="12034" max="12034" width="8.5546875" style="18" bestFit="1" customWidth="1"/>
    <col min="12035" max="12035" width="13.5546875" style="18" bestFit="1" customWidth="1"/>
    <col min="12036" max="12036" width="7.6640625" style="18" bestFit="1" customWidth="1"/>
    <col min="12037" max="12037" width="7.44140625" style="18" bestFit="1" customWidth="1"/>
    <col min="12038" max="12288" width="10" style="18"/>
    <col min="12289" max="12289" width="12.77734375" style="18" customWidth="1"/>
    <col min="12290" max="12290" width="8.5546875" style="18" bestFit="1" customWidth="1"/>
    <col min="12291" max="12291" width="13.5546875" style="18" bestFit="1" customWidth="1"/>
    <col min="12292" max="12292" width="7.6640625" style="18" bestFit="1" customWidth="1"/>
    <col min="12293" max="12293" width="7.44140625" style="18" bestFit="1" customWidth="1"/>
    <col min="12294" max="12544" width="10" style="18"/>
    <col min="12545" max="12545" width="12.77734375" style="18" customWidth="1"/>
    <col min="12546" max="12546" width="8.5546875" style="18" bestFit="1" customWidth="1"/>
    <col min="12547" max="12547" width="13.5546875" style="18" bestFit="1" customWidth="1"/>
    <col min="12548" max="12548" width="7.6640625" style="18" bestFit="1" customWidth="1"/>
    <col min="12549" max="12549" width="7.44140625" style="18" bestFit="1" customWidth="1"/>
    <col min="12550" max="12800" width="10" style="18"/>
    <col min="12801" max="12801" width="12.77734375" style="18" customWidth="1"/>
    <col min="12802" max="12802" width="8.5546875" style="18" bestFit="1" customWidth="1"/>
    <col min="12803" max="12803" width="13.5546875" style="18" bestFit="1" customWidth="1"/>
    <col min="12804" max="12804" width="7.6640625" style="18" bestFit="1" customWidth="1"/>
    <col min="12805" max="12805" width="7.44140625" style="18" bestFit="1" customWidth="1"/>
    <col min="12806" max="13056" width="10" style="18"/>
    <col min="13057" max="13057" width="12.77734375" style="18" customWidth="1"/>
    <col min="13058" max="13058" width="8.5546875" style="18" bestFit="1" customWidth="1"/>
    <col min="13059" max="13059" width="13.5546875" style="18" bestFit="1" customWidth="1"/>
    <col min="13060" max="13060" width="7.6640625" style="18" bestFit="1" customWidth="1"/>
    <col min="13061" max="13061" width="7.44140625" style="18" bestFit="1" customWidth="1"/>
    <col min="13062" max="13312" width="10" style="18"/>
    <col min="13313" max="13313" width="12.77734375" style="18" customWidth="1"/>
    <col min="13314" max="13314" width="8.5546875" style="18" bestFit="1" customWidth="1"/>
    <col min="13315" max="13315" width="13.5546875" style="18" bestFit="1" customWidth="1"/>
    <col min="13316" max="13316" width="7.6640625" style="18" bestFit="1" customWidth="1"/>
    <col min="13317" max="13317" width="7.44140625" style="18" bestFit="1" customWidth="1"/>
    <col min="13318" max="13568" width="10" style="18"/>
    <col min="13569" max="13569" width="12.77734375" style="18" customWidth="1"/>
    <col min="13570" max="13570" width="8.5546875" style="18" bestFit="1" customWidth="1"/>
    <col min="13571" max="13571" width="13.5546875" style="18" bestFit="1" customWidth="1"/>
    <col min="13572" max="13572" width="7.6640625" style="18" bestFit="1" customWidth="1"/>
    <col min="13573" max="13573" width="7.44140625" style="18" bestFit="1" customWidth="1"/>
    <col min="13574" max="13824" width="10" style="18"/>
    <col min="13825" max="13825" width="12.77734375" style="18" customWidth="1"/>
    <col min="13826" max="13826" width="8.5546875" style="18" bestFit="1" customWidth="1"/>
    <col min="13827" max="13827" width="13.5546875" style="18" bestFit="1" customWidth="1"/>
    <col min="13828" max="13828" width="7.6640625" style="18" bestFit="1" customWidth="1"/>
    <col min="13829" max="13829" width="7.44140625" style="18" bestFit="1" customWidth="1"/>
    <col min="13830" max="14080" width="10" style="18"/>
    <col min="14081" max="14081" width="12.77734375" style="18" customWidth="1"/>
    <col min="14082" max="14082" width="8.5546875" style="18" bestFit="1" customWidth="1"/>
    <col min="14083" max="14083" width="13.5546875" style="18" bestFit="1" customWidth="1"/>
    <col min="14084" max="14084" width="7.6640625" style="18" bestFit="1" customWidth="1"/>
    <col min="14085" max="14085" width="7.44140625" style="18" bestFit="1" customWidth="1"/>
    <col min="14086" max="14336" width="10" style="18"/>
    <col min="14337" max="14337" width="12.77734375" style="18" customWidth="1"/>
    <col min="14338" max="14338" width="8.5546875" style="18" bestFit="1" customWidth="1"/>
    <col min="14339" max="14339" width="13.5546875" style="18" bestFit="1" customWidth="1"/>
    <col min="14340" max="14340" width="7.6640625" style="18" bestFit="1" customWidth="1"/>
    <col min="14341" max="14341" width="7.44140625" style="18" bestFit="1" customWidth="1"/>
    <col min="14342" max="14592" width="10" style="18"/>
    <col min="14593" max="14593" width="12.77734375" style="18" customWidth="1"/>
    <col min="14594" max="14594" width="8.5546875" style="18" bestFit="1" customWidth="1"/>
    <col min="14595" max="14595" width="13.5546875" style="18" bestFit="1" customWidth="1"/>
    <col min="14596" max="14596" width="7.6640625" style="18" bestFit="1" customWidth="1"/>
    <col min="14597" max="14597" width="7.44140625" style="18" bestFit="1" customWidth="1"/>
    <col min="14598" max="14848" width="10" style="18"/>
    <col min="14849" max="14849" width="12.77734375" style="18" customWidth="1"/>
    <col min="14850" max="14850" width="8.5546875" style="18" bestFit="1" customWidth="1"/>
    <col min="14851" max="14851" width="13.5546875" style="18" bestFit="1" customWidth="1"/>
    <col min="14852" max="14852" width="7.6640625" style="18" bestFit="1" customWidth="1"/>
    <col min="14853" max="14853" width="7.44140625" style="18" bestFit="1" customWidth="1"/>
    <col min="14854" max="15104" width="10" style="18"/>
    <col min="15105" max="15105" width="12.77734375" style="18" customWidth="1"/>
    <col min="15106" max="15106" width="8.5546875" style="18" bestFit="1" customWidth="1"/>
    <col min="15107" max="15107" width="13.5546875" style="18" bestFit="1" customWidth="1"/>
    <col min="15108" max="15108" width="7.6640625" style="18" bestFit="1" customWidth="1"/>
    <col min="15109" max="15109" width="7.44140625" style="18" bestFit="1" customWidth="1"/>
    <col min="15110" max="15360" width="10" style="18"/>
    <col min="15361" max="15361" width="12.77734375" style="18" customWidth="1"/>
    <col min="15362" max="15362" width="8.5546875" style="18" bestFit="1" customWidth="1"/>
    <col min="15363" max="15363" width="13.5546875" style="18" bestFit="1" customWidth="1"/>
    <col min="15364" max="15364" width="7.6640625" style="18" bestFit="1" customWidth="1"/>
    <col min="15365" max="15365" width="7.44140625" style="18" bestFit="1" customWidth="1"/>
    <col min="15366" max="15616" width="10" style="18"/>
    <col min="15617" max="15617" width="12.77734375" style="18" customWidth="1"/>
    <col min="15618" max="15618" width="8.5546875" style="18" bestFit="1" customWidth="1"/>
    <col min="15619" max="15619" width="13.5546875" style="18" bestFit="1" customWidth="1"/>
    <col min="15620" max="15620" width="7.6640625" style="18" bestFit="1" customWidth="1"/>
    <col min="15621" max="15621" width="7.44140625" style="18" bestFit="1" customWidth="1"/>
    <col min="15622" max="15872" width="10" style="18"/>
    <col min="15873" max="15873" width="12.77734375" style="18" customWidth="1"/>
    <col min="15874" max="15874" width="8.5546875" style="18" bestFit="1" customWidth="1"/>
    <col min="15875" max="15875" width="13.5546875" style="18" bestFit="1" customWidth="1"/>
    <col min="15876" max="15876" width="7.6640625" style="18" bestFit="1" customWidth="1"/>
    <col min="15877" max="15877" width="7.44140625" style="18" bestFit="1" customWidth="1"/>
    <col min="15878" max="16128" width="10" style="18"/>
    <col min="16129" max="16129" width="12.77734375" style="18" customWidth="1"/>
    <col min="16130" max="16130" width="8.5546875" style="18" bestFit="1" customWidth="1"/>
    <col min="16131" max="16131" width="13.5546875" style="18" bestFit="1" customWidth="1"/>
    <col min="16132" max="16132" width="7.6640625" style="18" bestFit="1" customWidth="1"/>
    <col min="16133" max="16133" width="7.44140625" style="18" bestFit="1" customWidth="1"/>
    <col min="16134" max="16384" width="10" style="18"/>
  </cols>
  <sheetData>
    <row r="1" spans="1:4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x14ac:dyDescent="0.25">
      <c r="A5" s="8" t="s">
        <v>27</v>
      </c>
      <c r="B5" s="10">
        <v>2720</v>
      </c>
      <c r="C5" s="8" t="s">
        <v>28</v>
      </c>
      <c r="D5" s="9">
        <v>0</v>
      </c>
    </row>
    <row r="6" spans="1:4" x14ac:dyDescent="0.25">
      <c r="A6" s="7" t="s">
        <v>29</v>
      </c>
      <c r="B6" s="10">
        <f>SUM(B2:B5)</f>
        <v>2720</v>
      </c>
      <c r="C6" s="7" t="s">
        <v>30</v>
      </c>
      <c r="D6" s="9">
        <v>0</v>
      </c>
    </row>
    <row r="7" spans="1:4" x14ac:dyDescent="0.25">
      <c r="A7" s="8" t="s">
        <v>31</v>
      </c>
      <c r="B7" s="10">
        <f>7716.72+500+362.09</f>
        <v>8578.8100000000013</v>
      </c>
      <c r="C7" s="8" t="s">
        <v>32</v>
      </c>
      <c r="D7" s="9">
        <v>0</v>
      </c>
    </row>
    <row r="8" spans="1:4" x14ac:dyDescent="0.25">
      <c r="A8" s="8" t="s">
        <v>33</v>
      </c>
      <c r="B8" s="10">
        <v>163459.18</v>
      </c>
      <c r="C8" s="8" t="s">
        <v>34</v>
      </c>
      <c r="D8" s="9">
        <v>0</v>
      </c>
    </row>
    <row r="9" spans="1:4" x14ac:dyDescent="0.25">
      <c r="A9" s="8" t="s">
        <v>35</v>
      </c>
      <c r="B9" s="10">
        <f>39675*1.15</f>
        <v>45626.25</v>
      </c>
      <c r="C9" s="8" t="s">
        <v>36</v>
      </c>
      <c r="D9" s="10">
        <f>40000+36800-15</f>
        <v>76785</v>
      </c>
    </row>
    <row r="10" spans="1:4" x14ac:dyDescent="0.25">
      <c r="A10" s="8" t="s">
        <v>37</v>
      </c>
      <c r="B10" s="10">
        <f>5911.84+12*233.6</f>
        <v>8715.0400000000009</v>
      </c>
      <c r="C10" s="7" t="s">
        <v>38</v>
      </c>
      <c r="D10" s="10">
        <f>SUM(D7:D9)</f>
        <v>76785</v>
      </c>
    </row>
    <row r="11" spans="1:4" x14ac:dyDescent="0.25">
      <c r="A11" s="8" t="s">
        <v>39</v>
      </c>
      <c r="B11" s="24">
        <f>43914-43914*100%+6348</f>
        <v>6348</v>
      </c>
      <c r="C11" s="7" t="s">
        <v>40</v>
      </c>
      <c r="D11" s="10">
        <f>D6+D10</f>
        <v>76785</v>
      </c>
    </row>
    <row r="12" spans="1:4" x14ac:dyDescent="0.25">
      <c r="A12" s="7" t="s">
        <v>41</v>
      </c>
      <c r="B12" s="10">
        <f>SUM(B7:B11)</f>
        <v>232727.28</v>
      </c>
      <c r="C12" s="11"/>
      <c r="D12" s="11"/>
    </row>
    <row r="13" spans="1:4" x14ac:dyDescent="0.25">
      <c r="A13" s="7" t="s">
        <v>42</v>
      </c>
      <c r="B13" s="12">
        <f>B12+B6</f>
        <v>235447.28</v>
      </c>
      <c r="C13" s="13"/>
      <c r="D13" s="10"/>
    </row>
    <row r="14" spans="1:4" x14ac:dyDescent="0.25">
      <c r="A14" s="7" t="s">
        <v>43</v>
      </c>
      <c r="B14" s="12">
        <f>B13-D11</f>
        <v>158662.28</v>
      </c>
      <c r="C14" s="13"/>
      <c r="D14" s="10"/>
    </row>
    <row r="15" spans="1:4" ht="15" customHeight="1" x14ac:dyDescent="0.25">
      <c r="A15" s="7" t="s">
        <v>44</v>
      </c>
      <c r="B15" s="24">
        <f>'[1]2012年度'!$B$10</f>
        <v>40079.648850574711</v>
      </c>
      <c r="C15" s="13"/>
      <c r="D15" s="10"/>
    </row>
    <row r="16" spans="1:4" x14ac:dyDescent="0.25">
      <c r="A16" s="7" t="s">
        <v>45</v>
      </c>
      <c r="B16" s="14">
        <f>D11/B13</f>
        <v>0.32612396286761097</v>
      </c>
      <c r="C16" s="9"/>
      <c r="D16" s="9"/>
    </row>
    <row r="17" spans="1:6" x14ac:dyDescent="0.25">
      <c r="A17" s="5" t="s">
        <v>46</v>
      </c>
      <c r="B17" s="14">
        <f>B15/B14</f>
        <v>0.2526098128085309</v>
      </c>
    </row>
    <row r="18" spans="1:6" x14ac:dyDescent="0.25">
      <c r="A18" s="5"/>
      <c r="B18" s="14"/>
    </row>
    <row r="19" spans="1:6" ht="15" customHeight="1" x14ac:dyDescent="0.25">
      <c r="A19" s="5"/>
      <c r="B19" s="5" t="s">
        <v>67</v>
      </c>
      <c r="C19" s="22" t="s">
        <v>85</v>
      </c>
      <c r="D19" s="7" t="s">
        <v>68</v>
      </c>
      <c r="E19" s="7" t="s">
        <v>69</v>
      </c>
    </row>
    <row r="20" spans="1:6" ht="15" customHeight="1" x14ac:dyDescent="0.25">
      <c r="A20" s="7" t="s">
        <v>42</v>
      </c>
      <c r="B20" s="10">
        <f>B13</f>
        <v>235447.28</v>
      </c>
      <c r="C20" s="10">
        <f>'[2]2011年度'!B13</f>
        <v>197484.22999999998</v>
      </c>
      <c r="D20" s="10">
        <f>B13-'[2]2011年度'!B13</f>
        <v>37963.050000000017</v>
      </c>
      <c r="E20" s="14">
        <f>B13/'[2]2011年度'!B13-1</f>
        <v>0.1922333241494778</v>
      </c>
      <c r="F20" s="23"/>
    </row>
    <row r="21" spans="1:6" ht="15" customHeight="1" x14ac:dyDescent="0.25">
      <c r="A21" s="7" t="s">
        <v>43</v>
      </c>
      <c r="B21" s="10">
        <f>B14</f>
        <v>158662.28</v>
      </c>
      <c r="C21" s="10">
        <f>'[2]2011年度'!B14</f>
        <v>120699.22999999998</v>
      </c>
      <c r="D21" s="10">
        <f>B14-'[2]2011年度'!B14</f>
        <v>37963.050000000017</v>
      </c>
      <c r="E21" s="14">
        <f>B14/'[2]2011年度'!B14-1</f>
        <v>0.31452603301611792</v>
      </c>
      <c r="F21" s="23"/>
    </row>
    <row r="22" spans="1:6" ht="15" customHeight="1" x14ac:dyDescent="0.25">
      <c r="A22" s="7" t="s">
        <v>44</v>
      </c>
      <c r="B22" s="10">
        <f>B15</f>
        <v>40079.648850574711</v>
      </c>
      <c r="C22" s="10">
        <f>'[2]2011年度'!B15</f>
        <v>39926</v>
      </c>
      <c r="D22" s="24">
        <f>B15-'[2]2011年度'!B15</f>
        <v>153.6488505747111</v>
      </c>
      <c r="E22" s="25">
        <f>B15/'[2]2011年度'!B15-1</f>
        <v>3.8483406946527854E-3</v>
      </c>
      <c r="F22" s="23"/>
    </row>
    <row r="23" spans="1:6" x14ac:dyDescent="0.25">
      <c r="A23" s="7" t="s">
        <v>86</v>
      </c>
    </row>
    <row r="24" spans="1:6" x14ac:dyDescent="0.25">
      <c r="A24" s="5" t="s">
        <v>87</v>
      </c>
    </row>
    <row r="25" spans="1:6" x14ac:dyDescent="0.25">
      <c r="A25" s="5" t="s">
        <v>88</v>
      </c>
    </row>
    <row r="26" spans="1:6" x14ac:dyDescent="0.25">
      <c r="A26" s="5" t="s">
        <v>89</v>
      </c>
    </row>
    <row r="27" spans="1:6" x14ac:dyDescent="0.25">
      <c r="A27" s="5"/>
    </row>
    <row r="28" spans="1:6" x14ac:dyDescent="0.25">
      <c r="A28" s="7" t="s">
        <v>75</v>
      </c>
    </row>
    <row r="29" spans="1:6" x14ac:dyDescent="0.25">
      <c r="A29" s="5" t="s">
        <v>90</v>
      </c>
    </row>
    <row r="31" spans="1:6" s="6" customFormat="1" ht="15.6" x14ac:dyDescent="0.25">
      <c r="A31" s="7" t="s">
        <v>91</v>
      </c>
    </row>
    <row r="32" spans="1:6" s="6" customFormat="1" ht="15.6" x14ac:dyDescent="0.25">
      <c r="A32" s="7" t="s">
        <v>18</v>
      </c>
      <c r="B32" s="7" t="s">
        <v>19</v>
      </c>
      <c r="C32" s="7" t="s">
        <v>20</v>
      </c>
      <c r="D32" s="7" t="s">
        <v>19</v>
      </c>
    </row>
    <row r="33" spans="1:4" s="6" customFormat="1" ht="15.6" x14ac:dyDescent="0.25">
      <c r="A33" s="8" t="s">
        <v>21</v>
      </c>
      <c r="B33" s="9">
        <v>0</v>
      </c>
      <c r="C33" s="8" t="s">
        <v>22</v>
      </c>
      <c r="D33" s="9">
        <v>0</v>
      </c>
    </row>
    <row r="34" spans="1:4" s="6" customFormat="1" ht="15.6" x14ac:dyDescent="0.25">
      <c r="A34" s="8" t="s">
        <v>23</v>
      </c>
      <c r="B34" s="9">
        <v>0</v>
      </c>
      <c r="C34" s="8" t="s">
        <v>24</v>
      </c>
      <c r="D34" s="9">
        <v>0</v>
      </c>
    </row>
    <row r="35" spans="1:4" s="6" customFormat="1" ht="15.6" x14ac:dyDescent="0.25">
      <c r="A35" s="8" t="s">
        <v>25</v>
      </c>
      <c r="B35" s="9">
        <v>0</v>
      </c>
      <c r="C35" s="8" t="s">
        <v>26</v>
      </c>
      <c r="D35" s="9">
        <v>0</v>
      </c>
    </row>
    <row r="36" spans="1:4" s="6" customFormat="1" ht="15.6" x14ac:dyDescent="0.25">
      <c r="A36" s="8" t="s">
        <v>27</v>
      </c>
      <c r="B36" s="10">
        <v>2720</v>
      </c>
      <c r="C36" s="8" t="s">
        <v>28</v>
      </c>
      <c r="D36" s="9">
        <v>0</v>
      </c>
    </row>
    <row r="37" spans="1:4" s="6" customFormat="1" ht="15.6" x14ac:dyDescent="0.25">
      <c r="A37" s="7" t="s">
        <v>29</v>
      </c>
      <c r="B37" s="10">
        <f>SUM(B33:B36)</f>
        <v>2720</v>
      </c>
      <c r="C37" s="7" t="s">
        <v>30</v>
      </c>
      <c r="D37" s="9">
        <v>0</v>
      </c>
    </row>
    <row r="38" spans="1:4" s="6" customFormat="1" ht="15.6" x14ac:dyDescent="0.25">
      <c r="A38" s="8" t="s">
        <v>31</v>
      </c>
      <c r="B38" s="10">
        <f>7716.72+68+400</f>
        <v>8184.72</v>
      </c>
      <c r="C38" s="8" t="s">
        <v>32</v>
      </c>
      <c r="D38" s="9">
        <v>0</v>
      </c>
    </row>
    <row r="39" spans="1:4" s="6" customFormat="1" ht="15.6" x14ac:dyDescent="0.25">
      <c r="A39" s="8" t="s">
        <v>33</v>
      </c>
      <c r="B39" s="10">
        <v>163459.18</v>
      </c>
      <c r="C39" s="8" t="s">
        <v>34</v>
      </c>
      <c r="D39" s="9">
        <v>0</v>
      </c>
    </row>
    <row r="40" spans="1:4" s="6" customFormat="1" ht="15.6" x14ac:dyDescent="0.25">
      <c r="A40" s="8" t="s">
        <v>35</v>
      </c>
      <c r="B40" s="10">
        <f>39675*(1+0.15*0.75)</f>
        <v>44138.4375</v>
      </c>
      <c r="C40" s="8" t="s">
        <v>36</v>
      </c>
      <c r="D40" s="10">
        <f>40000+36800-15</f>
        <v>76785</v>
      </c>
    </row>
    <row r="41" spans="1:4" s="6" customFormat="1" ht="15.6" x14ac:dyDescent="0.25">
      <c r="A41" s="8" t="s">
        <v>37</v>
      </c>
      <c r="B41" s="10">
        <f>5911.84+12*233.6*0.75</f>
        <v>8014.24</v>
      </c>
      <c r="C41" s="7" t="s">
        <v>38</v>
      </c>
      <c r="D41" s="10">
        <f>SUM(D38:D40)</f>
        <v>76785</v>
      </c>
    </row>
    <row r="42" spans="1:4" s="6" customFormat="1" ht="15.6" x14ac:dyDescent="0.25">
      <c r="A42" s="8" t="s">
        <v>92</v>
      </c>
      <c r="B42" s="10">
        <v>1200</v>
      </c>
      <c r="C42" s="7" t="s">
        <v>40</v>
      </c>
      <c r="D42" s="10">
        <f>D37+D41</f>
        <v>76785</v>
      </c>
    </row>
    <row r="43" spans="1:4" s="6" customFormat="1" ht="15.6" x14ac:dyDescent="0.25">
      <c r="A43" s="7" t="s">
        <v>41</v>
      </c>
      <c r="B43" s="10">
        <f>SUM(B38:B42)</f>
        <v>224996.57749999998</v>
      </c>
      <c r="C43" s="26"/>
      <c r="D43" s="26"/>
    </row>
    <row r="44" spans="1:4" s="6" customFormat="1" ht="15.6" x14ac:dyDescent="0.25">
      <c r="A44" s="7" t="s">
        <v>42</v>
      </c>
      <c r="B44" s="12">
        <f>B43+B37</f>
        <v>227716.57749999998</v>
      </c>
      <c r="C44" s="13"/>
      <c r="D44" s="10"/>
    </row>
    <row r="45" spans="1:4" s="6" customFormat="1" ht="15.6" x14ac:dyDescent="0.25">
      <c r="A45" s="7" t="s">
        <v>43</v>
      </c>
      <c r="B45" s="12">
        <f>B44-D42</f>
        <v>150931.57749999998</v>
      </c>
      <c r="C45" s="13"/>
      <c r="D45" s="10"/>
    </row>
    <row r="46" spans="1:4" s="6" customFormat="1" ht="15.6" x14ac:dyDescent="0.25">
      <c r="A46" s="7" t="s">
        <v>44</v>
      </c>
      <c r="B46" s="24">
        <f>'[1]2012年度'!$B$35</f>
        <v>36823.537500000006</v>
      </c>
      <c r="C46" s="13"/>
      <c r="D46" s="10"/>
    </row>
    <row r="47" spans="1:4" s="6" customFormat="1" ht="15.6" x14ac:dyDescent="0.25">
      <c r="A47" s="7" t="s">
        <v>45</v>
      </c>
      <c r="B47" s="14">
        <f>D42/B44</f>
        <v>0.33719547712770276</v>
      </c>
      <c r="C47" s="9"/>
      <c r="D47" s="9"/>
    </row>
    <row r="48" spans="1:4" s="6" customFormat="1" ht="15.6" x14ac:dyDescent="0.25">
      <c r="A48" s="5" t="s">
        <v>46</v>
      </c>
      <c r="B48" s="14">
        <f>B46/B45</f>
        <v>0.2439750389543236</v>
      </c>
      <c r="C48" s="18"/>
      <c r="D48" s="18"/>
    </row>
    <row r="49" spans="1:5" s="6" customFormat="1" ht="15.6" x14ac:dyDescent="0.25"/>
    <row r="50" spans="1:5" s="6" customFormat="1" ht="15.6" x14ac:dyDescent="0.25">
      <c r="A50" s="5"/>
      <c r="B50" s="5" t="s">
        <v>93</v>
      </c>
      <c r="C50" s="22" t="s">
        <v>85</v>
      </c>
      <c r="D50" s="7" t="s">
        <v>68</v>
      </c>
      <c r="E50" s="7" t="s">
        <v>69</v>
      </c>
    </row>
    <row r="51" spans="1:5" s="6" customFormat="1" ht="15.6" x14ac:dyDescent="0.25">
      <c r="A51" s="7" t="s">
        <v>42</v>
      </c>
      <c r="B51" s="10">
        <f>B44</f>
        <v>227716.57749999998</v>
      </c>
      <c r="C51" s="10">
        <f>'[2]2011年度'!B13</f>
        <v>197484.22999999998</v>
      </c>
      <c r="D51" s="10">
        <f>B51-C51</f>
        <v>30232.347500000003</v>
      </c>
      <c r="E51" s="14">
        <f>B51/C51-1</f>
        <v>0.15308740095348372</v>
      </c>
    </row>
    <row r="52" spans="1:5" s="6" customFormat="1" ht="15.6" x14ac:dyDescent="0.25">
      <c r="A52" s="7" t="s">
        <v>43</v>
      </c>
      <c r="B52" s="10">
        <f>B45</f>
        <v>150931.57749999998</v>
      </c>
      <c r="C52" s="10">
        <f>'[2]2011年度'!B14</f>
        <v>120699.22999999998</v>
      </c>
      <c r="D52" s="10">
        <f>B52-C52</f>
        <v>30232.347500000003</v>
      </c>
      <c r="E52" s="14">
        <f>B52/C52-1</f>
        <v>0.2504767221795865</v>
      </c>
    </row>
    <row r="53" spans="1:5" s="6" customFormat="1" ht="15.6" x14ac:dyDescent="0.25">
      <c r="A53" s="7" t="s">
        <v>44</v>
      </c>
      <c r="B53" s="10">
        <f>B46</f>
        <v>36823.537500000006</v>
      </c>
      <c r="C53" s="10">
        <f>'[2]2011年度'!B15*0.75</f>
        <v>29944.5</v>
      </c>
      <c r="D53" s="10">
        <f>B53-C53</f>
        <v>6879.0375000000058</v>
      </c>
      <c r="E53" s="14">
        <f>B53/C53-1</f>
        <v>0.2297262435505687</v>
      </c>
    </row>
    <row r="54" spans="1:5" s="6" customFormat="1" ht="15.6" x14ac:dyDescent="0.25"/>
    <row r="55" spans="1:5" s="6" customFormat="1" ht="15.6" x14ac:dyDescent="0.25">
      <c r="A55" s="7" t="s">
        <v>94</v>
      </c>
    </row>
    <row r="56" spans="1:5" s="6" customFormat="1" ht="15.6" x14ac:dyDescent="0.25">
      <c r="A56" s="7"/>
    </row>
    <row r="57" spans="1:5" s="6" customFormat="1" ht="15.6" x14ac:dyDescent="0.25">
      <c r="A57" s="7" t="s">
        <v>74</v>
      </c>
    </row>
    <row r="58" spans="1:5" s="6" customFormat="1" ht="15.6" x14ac:dyDescent="0.25">
      <c r="A58" s="7" t="s">
        <v>18</v>
      </c>
      <c r="B58" s="7" t="s">
        <v>19</v>
      </c>
      <c r="C58" s="7" t="s">
        <v>20</v>
      </c>
      <c r="D58" s="7" t="s">
        <v>19</v>
      </c>
    </row>
    <row r="59" spans="1:5" s="6" customFormat="1" ht="15.6" x14ac:dyDescent="0.25">
      <c r="A59" s="8" t="s">
        <v>21</v>
      </c>
      <c r="B59" s="9">
        <v>0</v>
      </c>
      <c r="C59" s="8" t="s">
        <v>22</v>
      </c>
      <c r="D59" s="9">
        <v>0</v>
      </c>
    </row>
    <row r="60" spans="1:5" s="6" customFormat="1" ht="15.6" x14ac:dyDescent="0.25">
      <c r="A60" s="8" t="s">
        <v>23</v>
      </c>
      <c r="B60" s="9">
        <v>0</v>
      </c>
      <c r="C60" s="8" t="s">
        <v>24</v>
      </c>
      <c r="D60" s="9">
        <v>0</v>
      </c>
    </row>
    <row r="61" spans="1:5" s="6" customFormat="1" ht="15.6" x14ac:dyDescent="0.25">
      <c r="A61" s="8" t="s">
        <v>25</v>
      </c>
      <c r="B61" s="9">
        <v>0</v>
      </c>
      <c r="C61" s="8" t="s">
        <v>26</v>
      </c>
      <c r="D61" s="9">
        <v>0</v>
      </c>
    </row>
    <row r="62" spans="1:5" s="6" customFormat="1" ht="15.6" x14ac:dyDescent="0.25">
      <c r="A62" s="8" t="s">
        <v>27</v>
      </c>
      <c r="B62" s="10">
        <v>2720</v>
      </c>
      <c r="C62" s="8" t="s">
        <v>28</v>
      </c>
      <c r="D62" s="9">
        <v>0</v>
      </c>
    </row>
    <row r="63" spans="1:5" s="6" customFormat="1" ht="15.6" x14ac:dyDescent="0.25">
      <c r="A63" s="7" t="s">
        <v>29</v>
      </c>
      <c r="B63" s="10">
        <f>SUM(B59:B62)</f>
        <v>2720</v>
      </c>
      <c r="C63" s="7" t="s">
        <v>30</v>
      </c>
      <c r="D63" s="9">
        <v>0</v>
      </c>
    </row>
    <row r="64" spans="1:5" s="6" customFormat="1" ht="15.6" x14ac:dyDescent="0.25">
      <c r="A64" s="8" t="s">
        <v>31</v>
      </c>
      <c r="B64" s="10">
        <f>11639.86+2117+68+600+5000</f>
        <v>19424.86</v>
      </c>
      <c r="C64" s="8" t="s">
        <v>32</v>
      </c>
      <c r="D64" s="9">
        <v>0</v>
      </c>
    </row>
    <row r="65" spans="1:6" s="6" customFormat="1" ht="15.6" x14ac:dyDescent="0.25">
      <c r="A65" s="8" t="s">
        <v>33</v>
      </c>
      <c r="B65" s="10">
        <v>151539</v>
      </c>
      <c r="C65" s="8" t="s">
        <v>34</v>
      </c>
      <c r="D65" s="9">
        <v>0</v>
      </c>
    </row>
    <row r="66" spans="1:6" s="6" customFormat="1" ht="15.6" x14ac:dyDescent="0.25">
      <c r="A66" s="8" t="s">
        <v>35</v>
      </c>
      <c r="B66" s="10">
        <f>39675*(1+0.15*0.5)</f>
        <v>42650.625</v>
      </c>
      <c r="C66" s="8" t="s">
        <v>36</v>
      </c>
      <c r="D66" s="10">
        <f>40000+36800-15</f>
        <v>76785</v>
      </c>
    </row>
    <row r="67" spans="1:6" s="6" customFormat="1" ht="15.6" x14ac:dyDescent="0.25">
      <c r="A67" s="8" t="s">
        <v>37</v>
      </c>
      <c r="B67" s="10">
        <f>5911.84+12*233.6*0.5</f>
        <v>7313.4400000000005</v>
      </c>
      <c r="C67" s="7" t="s">
        <v>38</v>
      </c>
      <c r="D67" s="10">
        <f>SUM(D64:D66)</f>
        <v>76785</v>
      </c>
    </row>
    <row r="68" spans="1:6" s="6" customFormat="1" ht="15.6" x14ac:dyDescent="0.25">
      <c r="A68" s="8" t="s">
        <v>92</v>
      </c>
      <c r="B68" s="10">
        <v>1200</v>
      </c>
      <c r="C68" s="7" t="s">
        <v>40</v>
      </c>
      <c r="D68" s="10">
        <f>D63+D67</f>
        <v>76785</v>
      </c>
    </row>
    <row r="69" spans="1:6" s="6" customFormat="1" ht="15.6" x14ac:dyDescent="0.25">
      <c r="A69" s="7" t="s">
        <v>41</v>
      </c>
      <c r="B69" s="10">
        <f>SUM(B64:B68)</f>
        <v>222127.92499999999</v>
      </c>
      <c r="C69" s="26"/>
      <c r="D69" s="26"/>
    </row>
    <row r="70" spans="1:6" s="6" customFormat="1" ht="15.6" x14ac:dyDescent="0.25">
      <c r="A70" s="7" t="s">
        <v>42</v>
      </c>
      <c r="B70" s="12">
        <f>B69+B63</f>
        <v>224847.92499999999</v>
      </c>
      <c r="C70" s="13"/>
      <c r="D70" s="10"/>
    </row>
    <row r="71" spans="1:6" s="6" customFormat="1" ht="15.6" x14ac:dyDescent="0.25">
      <c r="A71" s="7" t="s">
        <v>43</v>
      </c>
      <c r="B71" s="12">
        <f>B70-D68</f>
        <v>148062.92499999999</v>
      </c>
      <c r="C71" s="13"/>
      <c r="D71" s="10"/>
    </row>
    <row r="72" spans="1:6" s="6" customFormat="1" ht="15.6" x14ac:dyDescent="0.25">
      <c r="A72" s="7" t="s">
        <v>44</v>
      </c>
      <c r="B72" s="24">
        <f>'[1]2012年度'!$B$51</f>
        <v>28730.865000000002</v>
      </c>
      <c r="C72" s="13"/>
      <c r="D72" s="10"/>
    </row>
    <row r="73" spans="1:6" s="6" customFormat="1" ht="15.6" x14ac:dyDescent="0.25">
      <c r="A73" s="7" t="s">
        <v>45</v>
      </c>
      <c r="B73" s="14">
        <f>D68/B70</f>
        <v>0.34149748101967142</v>
      </c>
      <c r="C73" s="9"/>
      <c r="D73" s="9"/>
    </row>
    <row r="74" spans="1:6" s="6" customFormat="1" ht="15.6" x14ac:dyDescent="0.25">
      <c r="A74" s="5" t="s">
        <v>46</v>
      </c>
      <c r="B74" s="14">
        <f>B72/B71</f>
        <v>0.19404496432851104</v>
      </c>
      <c r="C74" s="18"/>
      <c r="D74" s="18"/>
    </row>
    <row r="75" spans="1:6" s="6" customFormat="1" ht="15.6" x14ac:dyDescent="0.25"/>
    <row r="76" spans="1:6" s="6" customFormat="1" ht="15" customHeight="1" x14ac:dyDescent="0.25">
      <c r="A76" s="5"/>
      <c r="B76" s="5" t="s">
        <v>95</v>
      </c>
      <c r="C76" s="22" t="s">
        <v>85</v>
      </c>
      <c r="D76" s="7" t="s">
        <v>68</v>
      </c>
      <c r="E76" s="7" t="s">
        <v>69</v>
      </c>
    </row>
    <row r="77" spans="1:6" s="6" customFormat="1" ht="15" customHeight="1" x14ac:dyDescent="0.25">
      <c r="A77" s="7" t="s">
        <v>42</v>
      </c>
      <c r="B77" s="10">
        <f>B70</f>
        <v>224847.92499999999</v>
      </c>
      <c r="C77" s="10">
        <f>'[2]2011年度'!B13</f>
        <v>197484.22999999998</v>
      </c>
      <c r="D77" s="10">
        <f>B70-'[2]2011年度'!B13</f>
        <v>27363.695000000007</v>
      </c>
      <c r="E77" s="14">
        <f>B70/'[2]2011年度'!B13-1</f>
        <v>0.13856141829653956</v>
      </c>
      <c r="F77" s="16"/>
    </row>
    <row r="78" spans="1:6" s="6" customFormat="1" ht="15" customHeight="1" x14ac:dyDescent="0.25">
      <c r="A78" s="7" t="s">
        <v>43</v>
      </c>
      <c r="B78" s="10">
        <f>B71</f>
        <v>148062.92499999999</v>
      </c>
      <c r="C78" s="10">
        <f>'[2]2011年度'!B14</f>
        <v>120699.22999999998</v>
      </c>
      <c r="D78" s="10">
        <f>B71-'[2]2011年度'!B14</f>
        <v>27363.695000000007</v>
      </c>
      <c r="E78" s="14">
        <f>B71/'[2]2011年度'!B14-1</f>
        <v>0.22670977271354609</v>
      </c>
      <c r="F78" s="16"/>
    </row>
    <row r="79" spans="1:6" s="6" customFormat="1" ht="15" customHeight="1" x14ac:dyDescent="0.25">
      <c r="A79" s="7" t="s">
        <v>44</v>
      </c>
      <c r="B79" s="10">
        <f>B72</f>
        <v>28730.865000000002</v>
      </c>
      <c r="C79" s="10">
        <f>'[2]2011年度'!B15*0.5</f>
        <v>19963</v>
      </c>
      <c r="D79" s="10">
        <f>B79-C79</f>
        <v>8767.8650000000016</v>
      </c>
      <c r="E79" s="14">
        <f>B79/C79-1</f>
        <v>0.4392057806942844</v>
      </c>
      <c r="F79" s="16"/>
    </row>
    <row r="80" spans="1:6" s="6" customFormat="1" ht="15" customHeight="1" x14ac:dyDescent="0.25">
      <c r="A80" s="7"/>
      <c r="B80" s="10"/>
      <c r="C80" s="10"/>
      <c r="D80" s="10"/>
      <c r="E80" s="14"/>
      <c r="F80" s="16"/>
    </row>
    <row r="81" spans="1:4" s="6" customFormat="1" ht="15.6" x14ac:dyDescent="0.25">
      <c r="A81" s="7" t="s">
        <v>80</v>
      </c>
    </row>
    <row r="82" spans="1:4" s="6" customFormat="1" ht="15.6" x14ac:dyDescent="0.25">
      <c r="A82" s="7" t="s">
        <v>18</v>
      </c>
      <c r="B82" s="7" t="s">
        <v>19</v>
      </c>
      <c r="C82" s="7" t="s">
        <v>20</v>
      </c>
      <c r="D82" s="7" t="s">
        <v>19</v>
      </c>
    </row>
    <row r="83" spans="1:4" s="6" customFormat="1" ht="15.6" x14ac:dyDescent="0.25">
      <c r="A83" s="8" t="s">
        <v>21</v>
      </c>
      <c r="B83" s="9">
        <v>0</v>
      </c>
      <c r="C83" s="8" t="s">
        <v>22</v>
      </c>
      <c r="D83" s="9">
        <v>0</v>
      </c>
    </row>
    <row r="84" spans="1:4" s="6" customFormat="1" ht="15.6" x14ac:dyDescent="0.25">
      <c r="A84" s="8" t="s">
        <v>23</v>
      </c>
      <c r="B84" s="9">
        <v>0</v>
      </c>
      <c r="C84" s="8" t="s">
        <v>24</v>
      </c>
      <c r="D84" s="9">
        <v>0</v>
      </c>
    </row>
    <row r="85" spans="1:4" s="6" customFormat="1" ht="15.6" x14ac:dyDescent="0.25">
      <c r="A85" s="8" t="s">
        <v>25</v>
      </c>
      <c r="B85" s="9">
        <v>0</v>
      </c>
      <c r="C85" s="8" t="s">
        <v>26</v>
      </c>
      <c r="D85" s="9">
        <v>0</v>
      </c>
    </row>
    <row r="86" spans="1:4" s="6" customFormat="1" ht="15.6" x14ac:dyDescent="0.25">
      <c r="A86" s="8" t="s">
        <v>27</v>
      </c>
      <c r="B86" s="10">
        <v>2720</v>
      </c>
      <c r="C86" s="8" t="s">
        <v>28</v>
      </c>
      <c r="D86" s="9">
        <v>0</v>
      </c>
    </row>
    <row r="87" spans="1:4" s="6" customFormat="1" ht="15.6" x14ac:dyDescent="0.25">
      <c r="A87" s="7" t="s">
        <v>29</v>
      </c>
      <c r="B87" s="10">
        <f>SUM(B83:B86)</f>
        <v>2720</v>
      </c>
      <c r="C87" s="7" t="s">
        <v>30</v>
      </c>
      <c r="D87" s="9">
        <v>0</v>
      </c>
    </row>
    <row r="88" spans="1:4" s="6" customFormat="1" ht="15.6" x14ac:dyDescent="0.25">
      <c r="A88" s="8" t="s">
        <v>31</v>
      </c>
      <c r="B88" s="10">
        <f>13484.2+1400</f>
        <v>14884.2</v>
      </c>
      <c r="C88" s="8" t="s">
        <v>32</v>
      </c>
      <c r="D88" s="9">
        <v>0</v>
      </c>
    </row>
    <row r="89" spans="1:4" s="6" customFormat="1" ht="15.6" x14ac:dyDescent="0.25">
      <c r="A89" s="8" t="s">
        <v>33</v>
      </c>
      <c r="B89" s="10">
        <v>140519.18</v>
      </c>
      <c r="C89" s="8" t="s">
        <v>34</v>
      </c>
      <c r="D89" s="9">
        <v>0</v>
      </c>
    </row>
    <row r="90" spans="1:4" s="6" customFormat="1" ht="15.6" x14ac:dyDescent="0.25">
      <c r="A90" s="8" t="s">
        <v>35</v>
      </c>
      <c r="B90" s="10">
        <f>39675*(1+0.15*0.25)</f>
        <v>41162.8125</v>
      </c>
      <c r="C90" s="8" t="s">
        <v>36</v>
      </c>
      <c r="D90" s="10">
        <f>40000+36800-15</f>
        <v>76785</v>
      </c>
    </row>
    <row r="91" spans="1:4" s="6" customFormat="1" ht="15.6" x14ac:dyDescent="0.25">
      <c r="A91" s="8" t="s">
        <v>37</v>
      </c>
      <c r="B91" s="10">
        <f>5911.84+12*233.6*0.25</f>
        <v>6612.64</v>
      </c>
      <c r="C91" s="7" t="s">
        <v>38</v>
      </c>
      <c r="D91" s="10">
        <f>SUM(D88:D90)</f>
        <v>76785</v>
      </c>
    </row>
    <row r="92" spans="1:4" s="6" customFormat="1" ht="15.6" x14ac:dyDescent="0.25">
      <c r="A92" s="8" t="s">
        <v>92</v>
      </c>
      <c r="B92" s="10">
        <v>1200</v>
      </c>
      <c r="C92" s="7" t="s">
        <v>40</v>
      </c>
      <c r="D92" s="10">
        <f>D87+D91</f>
        <v>76785</v>
      </c>
    </row>
    <row r="93" spans="1:4" s="6" customFormat="1" ht="15.6" x14ac:dyDescent="0.25">
      <c r="A93" s="7" t="s">
        <v>41</v>
      </c>
      <c r="B93" s="10">
        <f>SUM(B88:B92)</f>
        <v>204378.83250000002</v>
      </c>
      <c r="C93" s="26"/>
      <c r="D93" s="26"/>
    </row>
    <row r="94" spans="1:4" s="6" customFormat="1" ht="15.6" x14ac:dyDescent="0.25">
      <c r="A94" s="7" t="s">
        <v>42</v>
      </c>
      <c r="B94" s="12">
        <f>B93+B87</f>
        <v>207098.83250000002</v>
      </c>
      <c r="C94" s="13"/>
      <c r="D94" s="10"/>
    </row>
    <row r="95" spans="1:4" s="6" customFormat="1" ht="15.6" x14ac:dyDescent="0.25">
      <c r="A95" s="7" t="s">
        <v>43</v>
      </c>
      <c r="B95" s="12">
        <f>B94-D92</f>
        <v>130313.83250000002</v>
      </c>
      <c r="C95" s="13"/>
      <c r="D95" s="10"/>
    </row>
    <row r="96" spans="1:4" s="6" customFormat="1" ht="15.6" x14ac:dyDescent="0.25">
      <c r="A96" s="7" t="s">
        <v>44</v>
      </c>
      <c r="B96" s="24">
        <f>'[1]2012年度'!$B$64</f>
        <v>15218.024999999998</v>
      </c>
      <c r="C96" s="13"/>
      <c r="D96" s="10"/>
    </row>
    <row r="97" spans="1:6" s="6" customFormat="1" ht="15.6" x14ac:dyDescent="0.25">
      <c r="A97" s="7" t="s">
        <v>45</v>
      </c>
      <c r="B97" s="14">
        <f>D92/B94</f>
        <v>0.3707650066062057</v>
      </c>
      <c r="C97" s="9"/>
      <c r="D97" s="9"/>
    </row>
    <row r="98" spans="1:6" s="6" customFormat="1" ht="15.6" x14ac:dyDescent="0.25">
      <c r="A98" s="5" t="s">
        <v>46</v>
      </c>
      <c r="B98" s="14">
        <f>B96/B95</f>
        <v>0.1167798130716476</v>
      </c>
      <c r="C98" s="18"/>
      <c r="D98" s="18"/>
    </row>
    <row r="99" spans="1:6" s="6" customFormat="1" ht="15.6" x14ac:dyDescent="0.25"/>
    <row r="100" spans="1:6" s="6" customFormat="1" ht="15" customHeight="1" x14ac:dyDescent="0.25">
      <c r="A100" s="5"/>
      <c r="B100" s="5" t="s">
        <v>96</v>
      </c>
      <c r="C100" s="22" t="s">
        <v>85</v>
      </c>
      <c r="D100" s="7" t="s">
        <v>68</v>
      </c>
      <c r="E100" s="7" t="s">
        <v>69</v>
      </c>
    </row>
    <row r="101" spans="1:6" s="6" customFormat="1" ht="15" customHeight="1" x14ac:dyDescent="0.25">
      <c r="A101" s="7" t="s">
        <v>42</v>
      </c>
      <c r="B101" s="10">
        <f>B94</f>
        <v>207098.83250000002</v>
      </c>
      <c r="C101" s="10">
        <f>'[2]2011年度'!B13</f>
        <v>197484.22999999998</v>
      </c>
      <c r="D101" s="10">
        <f>B94-'[2]2011年度'!B13</f>
        <v>9614.6025000000373</v>
      </c>
      <c r="E101" s="14">
        <f>B94/'[2]2011年度'!B13-1</f>
        <v>4.8685419083843051E-2</v>
      </c>
      <c r="F101" s="16"/>
    </row>
    <row r="102" spans="1:6" s="6" customFormat="1" ht="15" customHeight="1" x14ac:dyDescent="0.25">
      <c r="A102" s="7" t="s">
        <v>43</v>
      </c>
      <c r="B102" s="10">
        <f>B95</f>
        <v>130313.83250000002</v>
      </c>
      <c r="C102" s="10">
        <f>'[2]2011年度'!B14</f>
        <v>120699.22999999998</v>
      </c>
      <c r="D102" s="10">
        <f>B95-'[2]2011年度'!B14</f>
        <v>9614.6025000000373</v>
      </c>
      <c r="E102" s="14">
        <f>B95/'[2]2011年度'!B14-1</f>
        <v>7.9657529712493069E-2</v>
      </c>
      <c r="F102" s="16"/>
    </row>
    <row r="103" spans="1:6" s="6" customFormat="1" ht="15" customHeight="1" x14ac:dyDescent="0.25">
      <c r="A103" s="7" t="s">
        <v>44</v>
      </c>
      <c r="B103" s="10">
        <f>B96</f>
        <v>15218.024999999998</v>
      </c>
      <c r="C103" s="10">
        <f>'[2]2011年度'!B15*0.25</f>
        <v>9981.5</v>
      </c>
      <c r="D103" s="10">
        <f>B103-C103</f>
        <v>5236.5249999999978</v>
      </c>
      <c r="E103" s="14">
        <f>B103/C103-1</f>
        <v>0.52462305264739739</v>
      </c>
      <c r="F103" s="16"/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553D6-37BA-4C33-8DFA-3E03237FA318}">
  <dimension ref="A1:E33"/>
  <sheetViews>
    <sheetView topLeftCell="A10" workbookViewId="0">
      <selection activeCell="E28" sqref="E28"/>
    </sheetView>
  </sheetViews>
  <sheetFormatPr defaultRowHeight="15" customHeight="1" x14ac:dyDescent="0.25"/>
  <cols>
    <col min="1" max="1" width="12.88671875" style="6" customWidth="1"/>
    <col min="2" max="2" width="8.5546875" style="6" bestFit="1" customWidth="1"/>
    <col min="3" max="3" width="13.5546875" style="6" bestFit="1" customWidth="1"/>
    <col min="4" max="4" width="7.6640625" style="6" bestFit="1" customWidth="1"/>
    <col min="5" max="5" width="10.109375" style="6" bestFit="1" customWidth="1"/>
    <col min="6" max="256" width="8.88671875" style="6"/>
    <col min="257" max="257" width="12.88671875" style="6" customWidth="1"/>
    <col min="258" max="258" width="8.5546875" style="6" bestFit="1" customWidth="1"/>
    <col min="259" max="259" width="13.5546875" style="6" bestFit="1" customWidth="1"/>
    <col min="260" max="260" width="7.6640625" style="6" bestFit="1" customWidth="1"/>
    <col min="261" max="261" width="10.109375" style="6" bestFit="1" customWidth="1"/>
    <col min="262" max="512" width="8.88671875" style="6"/>
    <col min="513" max="513" width="12.88671875" style="6" customWidth="1"/>
    <col min="514" max="514" width="8.5546875" style="6" bestFit="1" customWidth="1"/>
    <col min="515" max="515" width="13.5546875" style="6" bestFit="1" customWidth="1"/>
    <col min="516" max="516" width="7.6640625" style="6" bestFit="1" customWidth="1"/>
    <col min="517" max="517" width="10.109375" style="6" bestFit="1" customWidth="1"/>
    <col min="518" max="768" width="8.88671875" style="6"/>
    <col min="769" max="769" width="12.88671875" style="6" customWidth="1"/>
    <col min="770" max="770" width="8.5546875" style="6" bestFit="1" customWidth="1"/>
    <col min="771" max="771" width="13.5546875" style="6" bestFit="1" customWidth="1"/>
    <col min="772" max="772" width="7.6640625" style="6" bestFit="1" customWidth="1"/>
    <col min="773" max="773" width="10.109375" style="6" bestFit="1" customWidth="1"/>
    <col min="774" max="1024" width="8.88671875" style="6"/>
    <col min="1025" max="1025" width="12.88671875" style="6" customWidth="1"/>
    <col min="1026" max="1026" width="8.5546875" style="6" bestFit="1" customWidth="1"/>
    <col min="1027" max="1027" width="13.5546875" style="6" bestFit="1" customWidth="1"/>
    <col min="1028" max="1028" width="7.6640625" style="6" bestFit="1" customWidth="1"/>
    <col min="1029" max="1029" width="10.109375" style="6" bestFit="1" customWidth="1"/>
    <col min="1030" max="1280" width="8.88671875" style="6"/>
    <col min="1281" max="1281" width="12.88671875" style="6" customWidth="1"/>
    <col min="1282" max="1282" width="8.5546875" style="6" bestFit="1" customWidth="1"/>
    <col min="1283" max="1283" width="13.5546875" style="6" bestFit="1" customWidth="1"/>
    <col min="1284" max="1284" width="7.6640625" style="6" bestFit="1" customWidth="1"/>
    <col min="1285" max="1285" width="10.109375" style="6" bestFit="1" customWidth="1"/>
    <col min="1286" max="1536" width="8.88671875" style="6"/>
    <col min="1537" max="1537" width="12.88671875" style="6" customWidth="1"/>
    <col min="1538" max="1538" width="8.5546875" style="6" bestFit="1" customWidth="1"/>
    <col min="1539" max="1539" width="13.5546875" style="6" bestFit="1" customWidth="1"/>
    <col min="1540" max="1540" width="7.6640625" style="6" bestFit="1" customWidth="1"/>
    <col min="1541" max="1541" width="10.109375" style="6" bestFit="1" customWidth="1"/>
    <col min="1542" max="1792" width="8.88671875" style="6"/>
    <col min="1793" max="1793" width="12.88671875" style="6" customWidth="1"/>
    <col min="1794" max="1794" width="8.5546875" style="6" bestFit="1" customWidth="1"/>
    <col min="1795" max="1795" width="13.5546875" style="6" bestFit="1" customWidth="1"/>
    <col min="1796" max="1796" width="7.6640625" style="6" bestFit="1" customWidth="1"/>
    <col min="1797" max="1797" width="10.109375" style="6" bestFit="1" customWidth="1"/>
    <col min="1798" max="2048" width="8.88671875" style="6"/>
    <col min="2049" max="2049" width="12.88671875" style="6" customWidth="1"/>
    <col min="2050" max="2050" width="8.5546875" style="6" bestFit="1" customWidth="1"/>
    <col min="2051" max="2051" width="13.5546875" style="6" bestFit="1" customWidth="1"/>
    <col min="2052" max="2052" width="7.6640625" style="6" bestFit="1" customWidth="1"/>
    <col min="2053" max="2053" width="10.109375" style="6" bestFit="1" customWidth="1"/>
    <col min="2054" max="2304" width="8.88671875" style="6"/>
    <col min="2305" max="2305" width="12.88671875" style="6" customWidth="1"/>
    <col min="2306" max="2306" width="8.5546875" style="6" bestFit="1" customWidth="1"/>
    <col min="2307" max="2307" width="13.5546875" style="6" bestFit="1" customWidth="1"/>
    <col min="2308" max="2308" width="7.6640625" style="6" bestFit="1" customWidth="1"/>
    <col min="2309" max="2309" width="10.109375" style="6" bestFit="1" customWidth="1"/>
    <col min="2310" max="2560" width="8.88671875" style="6"/>
    <col min="2561" max="2561" width="12.88671875" style="6" customWidth="1"/>
    <col min="2562" max="2562" width="8.5546875" style="6" bestFit="1" customWidth="1"/>
    <col min="2563" max="2563" width="13.5546875" style="6" bestFit="1" customWidth="1"/>
    <col min="2564" max="2564" width="7.6640625" style="6" bestFit="1" customWidth="1"/>
    <col min="2565" max="2565" width="10.109375" style="6" bestFit="1" customWidth="1"/>
    <col min="2566" max="2816" width="8.88671875" style="6"/>
    <col min="2817" max="2817" width="12.88671875" style="6" customWidth="1"/>
    <col min="2818" max="2818" width="8.5546875" style="6" bestFit="1" customWidth="1"/>
    <col min="2819" max="2819" width="13.5546875" style="6" bestFit="1" customWidth="1"/>
    <col min="2820" max="2820" width="7.6640625" style="6" bestFit="1" customWidth="1"/>
    <col min="2821" max="2821" width="10.109375" style="6" bestFit="1" customWidth="1"/>
    <col min="2822" max="3072" width="8.88671875" style="6"/>
    <col min="3073" max="3073" width="12.88671875" style="6" customWidth="1"/>
    <col min="3074" max="3074" width="8.5546875" style="6" bestFit="1" customWidth="1"/>
    <col min="3075" max="3075" width="13.5546875" style="6" bestFit="1" customWidth="1"/>
    <col min="3076" max="3076" width="7.6640625" style="6" bestFit="1" customWidth="1"/>
    <col min="3077" max="3077" width="10.109375" style="6" bestFit="1" customWidth="1"/>
    <col min="3078" max="3328" width="8.88671875" style="6"/>
    <col min="3329" max="3329" width="12.88671875" style="6" customWidth="1"/>
    <col min="3330" max="3330" width="8.5546875" style="6" bestFit="1" customWidth="1"/>
    <col min="3331" max="3331" width="13.5546875" style="6" bestFit="1" customWidth="1"/>
    <col min="3332" max="3332" width="7.6640625" style="6" bestFit="1" customWidth="1"/>
    <col min="3333" max="3333" width="10.109375" style="6" bestFit="1" customWidth="1"/>
    <col min="3334" max="3584" width="8.88671875" style="6"/>
    <col min="3585" max="3585" width="12.88671875" style="6" customWidth="1"/>
    <col min="3586" max="3586" width="8.5546875" style="6" bestFit="1" customWidth="1"/>
    <col min="3587" max="3587" width="13.5546875" style="6" bestFit="1" customWidth="1"/>
    <col min="3588" max="3588" width="7.6640625" style="6" bestFit="1" customWidth="1"/>
    <col min="3589" max="3589" width="10.109375" style="6" bestFit="1" customWidth="1"/>
    <col min="3590" max="3840" width="8.88671875" style="6"/>
    <col min="3841" max="3841" width="12.88671875" style="6" customWidth="1"/>
    <col min="3842" max="3842" width="8.5546875" style="6" bestFit="1" customWidth="1"/>
    <col min="3843" max="3843" width="13.5546875" style="6" bestFit="1" customWidth="1"/>
    <col min="3844" max="3844" width="7.6640625" style="6" bestFit="1" customWidth="1"/>
    <col min="3845" max="3845" width="10.109375" style="6" bestFit="1" customWidth="1"/>
    <col min="3846" max="4096" width="8.88671875" style="6"/>
    <col min="4097" max="4097" width="12.88671875" style="6" customWidth="1"/>
    <col min="4098" max="4098" width="8.5546875" style="6" bestFit="1" customWidth="1"/>
    <col min="4099" max="4099" width="13.5546875" style="6" bestFit="1" customWidth="1"/>
    <col min="4100" max="4100" width="7.6640625" style="6" bestFit="1" customWidth="1"/>
    <col min="4101" max="4101" width="10.109375" style="6" bestFit="1" customWidth="1"/>
    <col min="4102" max="4352" width="8.88671875" style="6"/>
    <col min="4353" max="4353" width="12.88671875" style="6" customWidth="1"/>
    <col min="4354" max="4354" width="8.5546875" style="6" bestFit="1" customWidth="1"/>
    <col min="4355" max="4355" width="13.5546875" style="6" bestFit="1" customWidth="1"/>
    <col min="4356" max="4356" width="7.6640625" style="6" bestFit="1" customWidth="1"/>
    <col min="4357" max="4357" width="10.109375" style="6" bestFit="1" customWidth="1"/>
    <col min="4358" max="4608" width="8.88671875" style="6"/>
    <col min="4609" max="4609" width="12.88671875" style="6" customWidth="1"/>
    <col min="4610" max="4610" width="8.5546875" style="6" bestFit="1" customWidth="1"/>
    <col min="4611" max="4611" width="13.5546875" style="6" bestFit="1" customWidth="1"/>
    <col min="4612" max="4612" width="7.6640625" style="6" bestFit="1" customWidth="1"/>
    <col min="4613" max="4613" width="10.109375" style="6" bestFit="1" customWidth="1"/>
    <col min="4614" max="4864" width="8.88671875" style="6"/>
    <col min="4865" max="4865" width="12.88671875" style="6" customWidth="1"/>
    <col min="4866" max="4866" width="8.5546875" style="6" bestFit="1" customWidth="1"/>
    <col min="4867" max="4867" width="13.5546875" style="6" bestFit="1" customWidth="1"/>
    <col min="4868" max="4868" width="7.6640625" style="6" bestFit="1" customWidth="1"/>
    <col min="4869" max="4869" width="10.109375" style="6" bestFit="1" customWidth="1"/>
    <col min="4870" max="5120" width="8.88671875" style="6"/>
    <col min="5121" max="5121" width="12.88671875" style="6" customWidth="1"/>
    <col min="5122" max="5122" width="8.5546875" style="6" bestFit="1" customWidth="1"/>
    <col min="5123" max="5123" width="13.5546875" style="6" bestFit="1" customWidth="1"/>
    <col min="5124" max="5124" width="7.6640625" style="6" bestFit="1" customWidth="1"/>
    <col min="5125" max="5125" width="10.109375" style="6" bestFit="1" customWidth="1"/>
    <col min="5126" max="5376" width="8.88671875" style="6"/>
    <col min="5377" max="5377" width="12.88671875" style="6" customWidth="1"/>
    <col min="5378" max="5378" width="8.5546875" style="6" bestFit="1" customWidth="1"/>
    <col min="5379" max="5379" width="13.5546875" style="6" bestFit="1" customWidth="1"/>
    <col min="5380" max="5380" width="7.6640625" style="6" bestFit="1" customWidth="1"/>
    <col min="5381" max="5381" width="10.109375" style="6" bestFit="1" customWidth="1"/>
    <col min="5382" max="5632" width="8.88671875" style="6"/>
    <col min="5633" max="5633" width="12.88671875" style="6" customWidth="1"/>
    <col min="5634" max="5634" width="8.5546875" style="6" bestFit="1" customWidth="1"/>
    <col min="5635" max="5635" width="13.5546875" style="6" bestFit="1" customWidth="1"/>
    <col min="5636" max="5636" width="7.6640625" style="6" bestFit="1" customWidth="1"/>
    <col min="5637" max="5637" width="10.109375" style="6" bestFit="1" customWidth="1"/>
    <col min="5638" max="5888" width="8.88671875" style="6"/>
    <col min="5889" max="5889" width="12.88671875" style="6" customWidth="1"/>
    <col min="5890" max="5890" width="8.5546875" style="6" bestFit="1" customWidth="1"/>
    <col min="5891" max="5891" width="13.5546875" style="6" bestFit="1" customWidth="1"/>
    <col min="5892" max="5892" width="7.6640625" style="6" bestFit="1" customWidth="1"/>
    <col min="5893" max="5893" width="10.109375" style="6" bestFit="1" customWidth="1"/>
    <col min="5894" max="6144" width="8.88671875" style="6"/>
    <col min="6145" max="6145" width="12.88671875" style="6" customWidth="1"/>
    <col min="6146" max="6146" width="8.5546875" style="6" bestFit="1" customWidth="1"/>
    <col min="6147" max="6147" width="13.5546875" style="6" bestFit="1" customWidth="1"/>
    <col min="6148" max="6148" width="7.6640625" style="6" bestFit="1" customWidth="1"/>
    <col min="6149" max="6149" width="10.109375" style="6" bestFit="1" customWidth="1"/>
    <col min="6150" max="6400" width="8.88671875" style="6"/>
    <col min="6401" max="6401" width="12.88671875" style="6" customWidth="1"/>
    <col min="6402" max="6402" width="8.5546875" style="6" bestFit="1" customWidth="1"/>
    <col min="6403" max="6403" width="13.5546875" style="6" bestFit="1" customWidth="1"/>
    <col min="6404" max="6404" width="7.6640625" style="6" bestFit="1" customWidth="1"/>
    <col min="6405" max="6405" width="10.109375" style="6" bestFit="1" customWidth="1"/>
    <col min="6406" max="6656" width="8.88671875" style="6"/>
    <col min="6657" max="6657" width="12.88671875" style="6" customWidth="1"/>
    <col min="6658" max="6658" width="8.5546875" style="6" bestFit="1" customWidth="1"/>
    <col min="6659" max="6659" width="13.5546875" style="6" bestFit="1" customWidth="1"/>
    <col min="6660" max="6660" width="7.6640625" style="6" bestFit="1" customWidth="1"/>
    <col min="6661" max="6661" width="10.109375" style="6" bestFit="1" customWidth="1"/>
    <col min="6662" max="6912" width="8.88671875" style="6"/>
    <col min="6913" max="6913" width="12.88671875" style="6" customWidth="1"/>
    <col min="6914" max="6914" width="8.5546875" style="6" bestFit="1" customWidth="1"/>
    <col min="6915" max="6915" width="13.5546875" style="6" bestFit="1" customWidth="1"/>
    <col min="6916" max="6916" width="7.6640625" style="6" bestFit="1" customWidth="1"/>
    <col min="6917" max="6917" width="10.109375" style="6" bestFit="1" customWidth="1"/>
    <col min="6918" max="7168" width="8.88671875" style="6"/>
    <col min="7169" max="7169" width="12.88671875" style="6" customWidth="1"/>
    <col min="7170" max="7170" width="8.5546875" style="6" bestFit="1" customWidth="1"/>
    <col min="7171" max="7171" width="13.5546875" style="6" bestFit="1" customWidth="1"/>
    <col min="7172" max="7172" width="7.6640625" style="6" bestFit="1" customWidth="1"/>
    <col min="7173" max="7173" width="10.109375" style="6" bestFit="1" customWidth="1"/>
    <col min="7174" max="7424" width="8.88671875" style="6"/>
    <col min="7425" max="7425" width="12.88671875" style="6" customWidth="1"/>
    <col min="7426" max="7426" width="8.5546875" style="6" bestFit="1" customWidth="1"/>
    <col min="7427" max="7427" width="13.5546875" style="6" bestFit="1" customWidth="1"/>
    <col min="7428" max="7428" width="7.6640625" style="6" bestFit="1" customWidth="1"/>
    <col min="7429" max="7429" width="10.109375" style="6" bestFit="1" customWidth="1"/>
    <col min="7430" max="7680" width="8.88671875" style="6"/>
    <col min="7681" max="7681" width="12.88671875" style="6" customWidth="1"/>
    <col min="7682" max="7682" width="8.5546875" style="6" bestFit="1" customWidth="1"/>
    <col min="7683" max="7683" width="13.5546875" style="6" bestFit="1" customWidth="1"/>
    <col min="7684" max="7684" width="7.6640625" style="6" bestFit="1" customWidth="1"/>
    <col min="7685" max="7685" width="10.109375" style="6" bestFit="1" customWidth="1"/>
    <col min="7686" max="7936" width="8.88671875" style="6"/>
    <col min="7937" max="7937" width="12.88671875" style="6" customWidth="1"/>
    <col min="7938" max="7938" width="8.5546875" style="6" bestFit="1" customWidth="1"/>
    <col min="7939" max="7939" width="13.5546875" style="6" bestFit="1" customWidth="1"/>
    <col min="7940" max="7940" width="7.6640625" style="6" bestFit="1" customWidth="1"/>
    <col min="7941" max="7941" width="10.109375" style="6" bestFit="1" customWidth="1"/>
    <col min="7942" max="8192" width="8.88671875" style="6"/>
    <col min="8193" max="8193" width="12.88671875" style="6" customWidth="1"/>
    <col min="8194" max="8194" width="8.5546875" style="6" bestFit="1" customWidth="1"/>
    <col min="8195" max="8195" width="13.5546875" style="6" bestFit="1" customWidth="1"/>
    <col min="8196" max="8196" width="7.6640625" style="6" bestFit="1" customWidth="1"/>
    <col min="8197" max="8197" width="10.109375" style="6" bestFit="1" customWidth="1"/>
    <col min="8198" max="8448" width="8.88671875" style="6"/>
    <col min="8449" max="8449" width="12.88671875" style="6" customWidth="1"/>
    <col min="8450" max="8450" width="8.5546875" style="6" bestFit="1" customWidth="1"/>
    <col min="8451" max="8451" width="13.5546875" style="6" bestFit="1" customWidth="1"/>
    <col min="8452" max="8452" width="7.6640625" style="6" bestFit="1" customWidth="1"/>
    <col min="8453" max="8453" width="10.109375" style="6" bestFit="1" customWidth="1"/>
    <col min="8454" max="8704" width="8.88671875" style="6"/>
    <col min="8705" max="8705" width="12.88671875" style="6" customWidth="1"/>
    <col min="8706" max="8706" width="8.5546875" style="6" bestFit="1" customWidth="1"/>
    <col min="8707" max="8707" width="13.5546875" style="6" bestFit="1" customWidth="1"/>
    <col min="8708" max="8708" width="7.6640625" style="6" bestFit="1" customWidth="1"/>
    <col min="8709" max="8709" width="10.109375" style="6" bestFit="1" customWidth="1"/>
    <col min="8710" max="8960" width="8.88671875" style="6"/>
    <col min="8961" max="8961" width="12.88671875" style="6" customWidth="1"/>
    <col min="8962" max="8962" width="8.5546875" style="6" bestFit="1" customWidth="1"/>
    <col min="8963" max="8963" width="13.5546875" style="6" bestFit="1" customWidth="1"/>
    <col min="8964" max="8964" width="7.6640625" style="6" bestFit="1" customWidth="1"/>
    <col min="8965" max="8965" width="10.109375" style="6" bestFit="1" customWidth="1"/>
    <col min="8966" max="9216" width="8.88671875" style="6"/>
    <col min="9217" max="9217" width="12.88671875" style="6" customWidth="1"/>
    <col min="9218" max="9218" width="8.5546875" style="6" bestFit="1" customWidth="1"/>
    <col min="9219" max="9219" width="13.5546875" style="6" bestFit="1" customWidth="1"/>
    <col min="9220" max="9220" width="7.6640625" style="6" bestFit="1" customWidth="1"/>
    <col min="9221" max="9221" width="10.109375" style="6" bestFit="1" customWidth="1"/>
    <col min="9222" max="9472" width="8.88671875" style="6"/>
    <col min="9473" max="9473" width="12.88671875" style="6" customWidth="1"/>
    <col min="9474" max="9474" width="8.5546875" style="6" bestFit="1" customWidth="1"/>
    <col min="9475" max="9475" width="13.5546875" style="6" bestFit="1" customWidth="1"/>
    <col min="9476" max="9476" width="7.6640625" style="6" bestFit="1" customWidth="1"/>
    <col min="9477" max="9477" width="10.109375" style="6" bestFit="1" customWidth="1"/>
    <col min="9478" max="9728" width="8.88671875" style="6"/>
    <col min="9729" max="9729" width="12.88671875" style="6" customWidth="1"/>
    <col min="9730" max="9730" width="8.5546875" style="6" bestFit="1" customWidth="1"/>
    <col min="9731" max="9731" width="13.5546875" style="6" bestFit="1" customWidth="1"/>
    <col min="9732" max="9732" width="7.6640625" style="6" bestFit="1" customWidth="1"/>
    <col min="9733" max="9733" width="10.109375" style="6" bestFit="1" customWidth="1"/>
    <col min="9734" max="9984" width="8.88671875" style="6"/>
    <col min="9985" max="9985" width="12.88671875" style="6" customWidth="1"/>
    <col min="9986" max="9986" width="8.5546875" style="6" bestFit="1" customWidth="1"/>
    <col min="9987" max="9987" width="13.5546875" style="6" bestFit="1" customWidth="1"/>
    <col min="9988" max="9988" width="7.6640625" style="6" bestFit="1" customWidth="1"/>
    <col min="9989" max="9989" width="10.109375" style="6" bestFit="1" customWidth="1"/>
    <col min="9990" max="10240" width="8.88671875" style="6"/>
    <col min="10241" max="10241" width="12.88671875" style="6" customWidth="1"/>
    <col min="10242" max="10242" width="8.5546875" style="6" bestFit="1" customWidth="1"/>
    <col min="10243" max="10243" width="13.5546875" style="6" bestFit="1" customWidth="1"/>
    <col min="10244" max="10244" width="7.6640625" style="6" bestFit="1" customWidth="1"/>
    <col min="10245" max="10245" width="10.109375" style="6" bestFit="1" customWidth="1"/>
    <col min="10246" max="10496" width="8.88671875" style="6"/>
    <col min="10497" max="10497" width="12.88671875" style="6" customWidth="1"/>
    <col min="10498" max="10498" width="8.5546875" style="6" bestFit="1" customWidth="1"/>
    <col min="10499" max="10499" width="13.5546875" style="6" bestFit="1" customWidth="1"/>
    <col min="10500" max="10500" width="7.6640625" style="6" bestFit="1" customWidth="1"/>
    <col min="10501" max="10501" width="10.109375" style="6" bestFit="1" customWidth="1"/>
    <col min="10502" max="10752" width="8.88671875" style="6"/>
    <col min="10753" max="10753" width="12.88671875" style="6" customWidth="1"/>
    <col min="10754" max="10754" width="8.5546875" style="6" bestFit="1" customWidth="1"/>
    <col min="10755" max="10755" width="13.5546875" style="6" bestFit="1" customWidth="1"/>
    <col min="10756" max="10756" width="7.6640625" style="6" bestFit="1" customWidth="1"/>
    <col min="10757" max="10757" width="10.109375" style="6" bestFit="1" customWidth="1"/>
    <col min="10758" max="11008" width="8.88671875" style="6"/>
    <col min="11009" max="11009" width="12.88671875" style="6" customWidth="1"/>
    <col min="11010" max="11010" width="8.5546875" style="6" bestFit="1" customWidth="1"/>
    <col min="11011" max="11011" width="13.5546875" style="6" bestFit="1" customWidth="1"/>
    <col min="11012" max="11012" width="7.6640625" style="6" bestFit="1" customWidth="1"/>
    <col min="11013" max="11013" width="10.109375" style="6" bestFit="1" customWidth="1"/>
    <col min="11014" max="11264" width="8.88671875" style="6"/>
    <col min="11265" max="11265" width="12.88671875" style="6" customWidth="1"/>
    <col min="11266" max="11266" width="8.5546875" style="6" bestFit="1" customWidth="1"/>
    <col min="11267" max="11267" width="13.5546875" style="6" bestFit="1" customWidth="1"/>
    <col min="11268" max="11268" width="7.6640625" style="6" bestFit="1" customWidth="1"/>
    <col min="11269" max="11269" width="10.109375" style="6" bestFit="1" customWidth="1"/>
    <col min="11270" max="11520" width="8.88671875" style="6"/>
    <col min="11521" max="11521" width="12.88671875" style="6" customWidth="1"/>
    <col min="11522" max="11522" width="8.5546875" style="6" bestFit="1" customWidth="1"/>
    <col min="11523" max="11523" width="13.5546875" style="6" bestFit="1" customWidth="1"/>
    <col min="11524" max="11524" width="7.6640625" style="6" bestFit="1" customWidth="1"/>
    <col min="11525" max="11525" width="10.109375" style="6" bestFit="1" customWidth="1"/>
    <col min="11526" max="11776" width="8.88671875" style="6"/>
    <col min="11777" max="11777" width="12.88671875" style="6" customWidth="1"/>
    <col min="11778" max="11778" width="8.5546875" style="6" bestFit="1" customWidth="1"/>
    <col min="11779" max="11779" width="13.5546875" style="6" bestFit="1" customWidth="1"/>
    <col min="11780" max="11780" width="7.6640625" style="6" bestFit="1" customWidth="1"/>
    <col min="11781" max="11781" width="10.109375" style="6" bestFit="1" customWidth="1"/>
    <col min="11782" max="12032" width="8.88671875" style="6"/>
    <col min="12033" max="12033" width="12.88671875" style="6" customWidth="1"/>
    <col min="12034" max="12034" width="8.5546875" style="6" bestFit="1" customWidth="1"/>
    <col min="12035" max="12035" width="13.5546875" style="6" bestFit="1" customWidth="1"/>
    <col min="12036" max="12036" width="7.6640625" style="6" bestFit="1" customWidth="1"/>
    <col min="12037" max="12037" width="10.109375" style="6" bestFit="1" customWidth="1"/>
    <col min="12038" max="12288" width="8.88671875" style="6"/>
    <col min="12289" max="12289" width="12.88671875" style="6" customWidth="1"/>
    <col min="12290" max="12290" width="8.5546875" style="6" bestFit="1" customWidth="1"/>
    <col min="12291" max="12291" width="13.5546875" style="6" bestFit="1" customWidth="1"/>
    <col min="12292" max="12292" width="7.6640625" style="6" bestFit="1" customWidth="1"/>
    <col min="12293" max="12293" width="10.109375" style="6" bestFit="1" customWidth="1"/>
    <col min="12294" max="12544" width="8.88671875" style="6"/>
    <col min="12545" max="12545" width="12.88671875" style="6" customWidth="1"/>
    <col min="12546" max="12546" width="8.5546875" style="6" bestFit="1" customWidth="1"/>
    <col min="12547" max="12547" width="13.5546875" style="6" bestFit="1" customWidth="1"/>
    <col min="12548" max="12548" width="7.6640625" style="6" bestFit="1" customWidth="1"/>
    <col min="12549" max="12549" width="10.109375" style="6" bestFit="1" customWidth="1"/>
    <col min="12550" max="12800" width="8.88671875" style="6"/>
    <col min="12801" max="12801" width="12.88671875" style="6" customWidth="1"/>
    <col min="12802" max="12802" width="8.5546875" style="6" bestFit="1" customWidth="1"/>
    <col min="12803" max="12803" width="13.5546875" style="6" bestFit="1" customWidth="1"/>
    <col min="12804" max="12804" width="7.6640625" style="6" bestFit="1" customWidth="1"/>
    <col min="12805" max="12805" width="10.109375" style="6" bestFit="1" customWidth="1"/>
    <col min="12806" max="13056" width="8.88671875" style="6"/>
    <col min="13057" max="13057" width="12.88671875" style="6" customWidth="1"/>
    <col min="13058" max="13058" width="8.5546875" style="6" bestFit="1" customWidth="1"/>
    <col min="13059" max="13059" width="13.5546875" style="6" bestFit="1" customWidth="1"/>
    <col min="13060" max="13060" width="7.6640625" style="6" bestFit="1" customWidth="1"/>
    <col min="13061" max="13061" width="10.109375" style="6" bestFit="1" customWidth="1"/>
    <col min="13062" max="13312" width="8.88671875" style="6"/>
    <col min="13313" max="13313" width="12.88671875" style="6" customWidth="1"/>
    <col min="13314" max="13314" width="8.5546875" style="6" bestFit="1" customWidth="1"/>
    <col min="13315" max="13315" width="13.5546875" style="6" bestFit="1" customWidth="1"/>
    <col min="13316" max="13316" width="7.6640625" style="6" bestFit="1" customWidth="1"/>
    <col min="13317" max="13317" width="10.109375" style="6" bestFit="1" customWidth="1"/>
    <col min="13318" max="13568" width="8.88671875" style="6"/>
    <col min="13569" max="13569" width="12.88671875" style="6" customWidth="1"/>
    <col min="13570" max="13570" width="8.5546875" style="6" bestFit="1" customWidth="1"/>
    <col min="13571" max="13571" width="13.5546875" style="6" bestFit="1" customWidth="1"/>
    <col min="13572" max="13572" width="7.6640625" style="6" bestFit="1" customWidth="1"/>
    <col min="13573" max="13573" width="10.109375" style="6" bestFit="1" customWidth="1"/>
    <col min="13574" max="13824" width="8.88671875" style="6"/>
    <col min="13825" max="13825" width="12.88671875" style="6" customWidth="1"/>
    <col min="13826" max="13826" width="8.5546875" style="6" bestFit="1" customWidth="1"/>
    <col min="13827" max="13827" width="13.5546875" style="6" bestFit="1" customWidth="1"/>
    <col min="13828" max="13828" width="7.6640625" style="6" bestFit="1" customWidth="1"/>
    <col min="13829" max="13829" width="10.109375" style="6" bestFit="1" customWidth="1"/>
    <col min="13830" max="14080" width="8.88671875" style="6"/>
    <col min="14081" max="14081" width="12.88671875" style="6" customWidth="1"/>
    <col min="14082" max="14082" width="8.5546875" style="6" bestFit="1" customWidth="1"/>
    <col min="14083" max="14083" width="13.5546875" style="6" bestFit="1" customWidth="1"/>
    <col min="14084" max="14084" width="7.6640625" style="6" bestFit="1" customWidth="1"/>
    <col min="14085" max="14085" width="10.109375" style="6" bestFit="1" customWidth="1"/>
    <col min="14086" max="14336" width="8.88671875" style="6"/>
    <col min="14337" max="14337" width="12.88671875" style="6" customWidth="1"/>
    <col min="14338" max="14338" width="8.5546875" style="6" bestFit="1" customWidth="1"/>
    <col min="14339" max="14339" width="13.5546875" style="6" bestFit="1" customWidth="1"/>
    <col min="14340" max="14340" width="7.6640625" style="6" bestFit="1" customWidth="1"/>
    <col min="14341" max="14341" width="10.109375" style="6" bestFit="1" customWidth="1"/>
    <col min="14342" max="14592" width="8.88671875" style="6"/>
    <col min="14593" max="14593" width="12.88671875" style="6" customWidth="1"/>
    <col min="14594" max="14594" width="8.5546875" style="6" bestFit="1" customWidth="1"/>
    <col min="14595" max="14595" width="13.5546875" style="6" bestFit="1" customWidth="1"/>
    <col min="14596" max="14596" width="7.6640625" style="6" bestFit="1" customWidth="1"/>
    <col min="14597" max="14597" width="10.109375" style="6" bestFit="1" customWidth="1"/>
    <col min="14598" max="14848" width="8.88671875" style="6"/>
    <col min="14849" max="14849" width="12.88671875" style="6" customWidth="1"/>
    <col min="14850" max="14850" width="8.5546875" style="6" bestFit="1" customWidth="1"/>
    <col min="14851" max="14851" width="13.5546875" style="6" bestFit="1" customWidth="1"/>
    <col min="14852" max="14852" width="7.6640625" style="6" bestFit="1" customWidth="1"/>
    <col min="14853" max="14853" width="10.109375" style="6" bestFit="1" customWidth="1"/>
    <col min="14854" max="15104" width="8.88671875" style="6"/>
    <col min="15105" max="15105" width="12.88671875" style="6" customWidth="1"/>
    <col min="15106" max="15106" width="8.5546875" style="6" bestFit="1" customWidth="1"/>
    <col min="15107" max="15107" width="13.5546875" style="6" bestFit="1" customWidth="1"/>
    <col min="15108" max="15108" width="7.6640625" style="6" bestFit="1" customWidth="1"/>
    <col min="15109" max="15109" width="10.109375" style="6" bestFit="1" customWidth="1"/>
    <col min="15110" max="15360" width="8.88671875" style="6"/>
    <col min="15361" max="15361" width="12.88671875" style="6" customWidth="1"/>
    <col min="15362" max="15362" width="8.5546875" style="6" bestFit="1" customWidth="1"/>
    <col min="15363" max="15363" width="13.5546875" style="6" bestFit="1" customWidth="1"/>
    <col min="15364" max="15364" width="7.6640625" style="6" bestFit="1" customWidth="1"/>
    <col min="15365" max="15365" width="10.109375" style="6" bestFit="1" customWidth="1"/>
    <col min="15366" max="15616" width="8.88671875" style="6"/>
    <col min="15617" max="15617" width="12.88671875" style="6" customWidth="1"/>
    <col min="15618" max="15618" width="8.5546875" style="6" bestFit="1" customWidth="1"/>
    <col min="15619" max="15619" width="13.5546875" style="6" bestFit="1" customWidth="1"/>
    <col min="15620" max="15620" width="7.6640625" style="6" bestFit="1" customWidth="1"/>
    <col min="15621" max="15621" width="10.109375" style="6" bestFit="1" customWidth="1"/>
    <col min="15622" max="15872" width="8.88671875" style="6"/>
    <col min="15873" max="15873" width="12.88671875" style="6" customWidth="1"/>
    <col min="15874" max="15874" width="8.5546875" style="6" bestFit="1" customWidth="1"/>
    <col min="15875" max="15875" width="13.5546875" style="6" bestFit="1" customWidth="1"/>
    <col min="15876" max="15876" width="7.6640625" style="6" bestFit="1" customWidth="1"/>
    <col min="15877" max="15877" width="10.109375" style="6" bestFit="1" customWidth="1"/>
    <col min="15878" max="16128" width="8.88671875" style="6"/>
    <col min="16129" max="16129" width="12.88671875" style="6" customWidth="1"/>
    <col min="16130" max="16130" width="8.5546875" style="6" bestFit="1" customWidth="1"/>
    <col min="16131" max="16131" width="13.5546875" style="6" bestFit="1" customWidth="1"/>
    <col min="16132" max="16132" width="7.6640625" style="6" bestFit="1" customWidth="1"/>
    <col min="16133" max="16133" width="10.109375" style="6" bestFit="1" customWidth="1"/>
    <col min="16134" max="16384" width="8.88671875" style="6"/>
  </cols>
  <sheetData>
    <row r="1" spans="1:5" s="27" customFormat="1" ht="15" customHeigh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5" ht="15" customHeight="1" x14ac:dyDescent="0.25">
      <c r="A2" s="8" t="s">
        <v>21</v>
      </c>
      <c r="B2" s="9">
        <v>0</v>
      </c>
      <c r="C2" s="8" t="s">
        <v>22</v>
      </c>
      <c r="D2" s="9">
        <v>0</v>
      </c>
    </row>
    <row r="3" spans="1:5" ht="15" customHeight="1" x14ac:dyDescent="0.25">
      <c r="A3" s="8" t="s">
        <v>23</v>
      </c>
      <c r="B3" s="9">
        <v>0</v>
      </c>
      <c r="C3" s="8" t="s">
        <v>24</v>
      </c>
      <c r="D3" s="9">
        <v>0</v>
      </c>
    </row>
    <row r="4" spans="1:5" ht="15" customHeight="1" x14ac:dyDescent="0.25">
      <c r="A4" s="8" t="s">
        <v>25</v>
      </c>
      <c r="B4" s="9">
        <v>0</v>
      </c>
      <c r="C4" s="8" t="s">
        <v>26</v>
      </c>
      <c r="D4" s="9">
        <v>0</v>
      </c>
    </row>
    <row r="5" spans="1:5" ht="15" customHeight="1" x14ac:dyDescent="0.25">
      <c r="A5" s="8" t="s">
        <v>27</v>
      </c>
      <c r="B5" s="10">
        <v>3120</v>
      </c>
      <c r="C5" s="8" t="s">
        <v>28</v>
      </c>
      <c r="D5" s="9">
        <v>0</v>
      </c>
    </row>
    <row r="6" spans="1:5" ht="15" customHeight="1" x14ac:dyDescent="0.25">
      <c r="A6" s="7" t="s">
        <v>29</v>
      </c>
      <c r="B6" s="10">
        <f>SUM(B2:B5)</f>
        <v>3120</v>
      </c>
      <c r="C6" s="7" t="s">
        <v>97</v>
      </c>
      <c r="D6" s="9">
        <v>0</v>
      </c>
    </row>
    <row r="7" spans="1:5" ht="15" customHeight="1" x14ac:dyDescent="0.25">
      <c r="A7" s="8" t="s">
        <v>31</v>
      </c>
      <c r="B7" s="10">
        <v>3258.21</v>
      </c>
      <c r="C7" s="8" t="s">
        <v>32</v>
      </c>
      <c r="D7" s="9">
        <v>0</v>
      </c>
    </row>
    <row r="8" spans="1:5" ht="15" customHeight="1" x14ac:dyDescent="0.25">
      <c r="A8" s="8" t="s">
        <v>33</v>
      </c>
      <c r="B8" s="10">
        <v>140519.18</v>
      </c>
      <c r="C8" s="8" t="s">
        <v>34</v>
      </c>
      <c r="D8" s="9">
        <v>0</v>
      </c>
    </row>
    <row r="9" spans="1:5" ht="15" customHeight="1" x14ac:dyDescent="0.25">
      <c r="A9" s="8" t="s">
        <v>35</v>
      </c>
      <c r="B9" s="10">
        <f>34500*1.15</f>
        <v>39675</v>
      </c>
      <c r="C9" s="8" t="s">
        <v>36</v>
      </c>
      <c r="D9" s="10">
        <f>40000+36800-15</f>
        <v>76785</v>
      </c>
      <c r="E9" s="16"/>
    </row>
    <row r="10" spans="1:5" ht="15" customHeight="1" x14ac:dyDescent="0.25">
      <c r="A10" s="8" t="s">
        <v>37</v>
      </c>
      <c r="B10" s="10">
        <v>5911.84</v>
      </c>
      <c r="C10" s="7" t="s">
        <v>38</v>
      </c>
      <c r="D10" s="10">
        <f>SUM(D7:D9)</f>
        <v>76785</v>
      </c>
    </row>
    <row r="11" spans="1:5" ht="15" customHeight="1" x14ac:dyDescent="0.25">
      <c r="A11" s="8" t="s">
        <v>39</v>
      </c>
      <c r="B11" s="10">
        <v>5000</v>
      </c>
      <c r="C11" s="7" t="s">
        <v>40</v>
      </c>
      <c r="D11" s="10">
        <f>D6+D10</f>
        <v>76785</v>
      </c>
    </row>
    <row r="12" spans="1:5" ht="15" customHeight="1" x14ac:dyDescent="0.25">
      <c r="A12" s="7" t="s">
        <v>41</v>
      </c>
      <c r="B12" s="10">
        <f>SUM(B7:B11)</f>
        <v>194364.22999999998</v>
      </c>
    </row>
    <row r="13" spans="1:5" ht="15" customHeight="1" x14ac:dyDescent="0.25">
      <c r="A13" s="7" t="s">
        <v>42</v>
      </c>
      <c r="B13" s="12">
        <f>B12+B6</f>
        <v>197484.22999999998</v>
      </c>
    </row>
    <row r="14" spans="1:5" ht="15" customHeight="1" x14ac:dyDescent="0.25">
      <c r="A14" s="7" t="s">
        <v>43</v>
      </c>
      <c r="B14" s="12">
        <f>B13-D11</f>
        <v>120699.22999999998</v>
      </c>
    </row>
    <row r="15" spans="1:5" ht="15" customHeight="1" x14ac:dyDescent="0.25">
      <c r="A15" s="7" t="s">
        <v>44</v>
      </c>
      <c r="B15" s="24">
        <f>39926</f>
        <v>39926</v>
      </c>
    </row>
    <row r="16" spans="1:5" ht="15" customHeight="1" x14ac:dyDescent="0.25">
      <c r="A16" s="7" t="s">
        <v>45</v>
      </c>
      <c r="B16" s="14">
        <f>D11/B13</f>
        <v>0.38881585633445265</v>
      </c>
      <c r="C16" s="9"/>
      <c r="D16" s="9"/>
    </row>
    <row r="17" spans="1:5" ht="15" customHeight="1" x14ac:dyDescent="0.25">
      <c r="A17" s="5" t="s">
        <v>46</v>
      </c>
      <c r="B17" s="14">
        <f>B15/B14</f>
        <v>0.33078918564766324</v>
      </c>
      <c r="C17" s="18"/>
      <c r="D17" s="18"/>
    </row>
    <row r="18" spans="1:5" ht="15" customHeight="1" x14ac:dyDescent="0.25">
      <c r="A18" s="5"/>
      <c r="B18" s="5" t="s">
        <v>85</v>
      </c>
      <c r="C18" s="22" t="s">
        <v>98</v>
      </c>
      <c r="D18" s="7" t="s">
        <v>68</v>
      </c>
      <c r="E18" s="7" t="s">
        <v>69</v>
      </c>
    </row>
    <row r="19" spans="1:5" ht="15" customHeight="1" x14ac:dyDescent="0.25">
      <c r="A19" s="7" t="s">
        <v>42</v>
      </c>
      <c r="B19" s="10">
        <f>B13</f>
        <v>197484.22999999998</v>
      </c>
      <c r="C19" s="28">
        <f>'[2]2010年度'!B13</f>
        <v>160444</v>
      </c>
      <c r="D19" s="10">
        <f>B13-'[2]2010年度'!B13</f>
        <v>37040.229999999981</v>
      </c>
      <c r="E19" s="14">
        <f>B13/'[2]2010年度'!B13-1</f>
        <v>0.23086079878337595</v>
      </c>
    </row>
    <row r="20" spans="1:5" ht="15" customHeight="1" x14ac:dyDescent="0.25">
      <c r="A20" s="7" t="s">
        <v>43</v>
      </c>
      <c r="B20" s="10">
        <f>B14</f>
        <v>120699.22999999998</v>
      </c>
      <c r="C20" s="28">
        <f>'[2]2010年度'!B14</f>
        <v>83659</v>
      </c>
      <c r="D20" s="10">
        <f>B20-C20</f>
        <v>37040.229999999981</v>
      </c>
      <c r="E20" s="14">
        <f>B14/'[2]2010年度'!B14-1</f>
        <v>0.44275248329528183</v>
      </c>
    </row>
    <row r="21" spans="1:5" ht="15" customHeight="1" x14ac:dyDescent="0.25">
      <c r="A21" s="7" t="s">
        <v>44</v>
      </c>
      <c r="B21" s="10">
        <f>B15</f>
        <v>39926</v>
      </c>
      <c r="C21" s="28">
        <f>'[2]2010年度'!B15</f>
        <v>32333</v>
      </c>
      <c r="D21" s="10">
        <f>B15-'[2]2010年度'!B15</f>
        <v>7593</v>
      </c>
      <c r="E21" s="14">
        <f>B15/'[2]2010年度'!B15-1</f>
        <v>0.23483747255126342</v>
      </c>
    </row>
    <row r="22" spans="1:5" ht="15" customHeight="1" x14ac:dyDescent="0.25">
      <c r="A22" s="7"/>
      <c r="B22" s="13"/>
      <c r="C22" s="29"/>
    </row>
    <row r="23" spans="1:5" ht="15" customHeight="1" x14ac:dyDescent="0.25">
      <c r="A23" s="7" t="s">
        <v>99</v>
      </c>
    </row>
    <row r="24" spans="1:5" ht="15" customHeight="1" x14ac:dyDescent="0.25">
      <c r="A24" s="7" t="s">
        <v>100</v>
      </c>
    </row>
    <row r="25" spans="1:5" ht="15" customHeight="1" x14ac:dyDescent="0.25">
      <c r="A25" s="7" t="s">
        <v>101</v>
      </c>
    </row>
    <row r="27" spans="1:5" s="9" customFormat="1" ht="13.2" x14ac:dyDescent="0.25">
      <c r="A27" s="7" t="s">
        <v>102</v>
      </c>
      <c r="B27" s="30" t="s">
        <v>43</v>
      </c>
      <c r="C27" s="31" t="s">
        <v>46</v>
      </c>
      <c r="D27" s="32" t="s">
        <v>103</v>
      </c>
      <c r="E27" s="30" t="s">
        <v>104</v>
      </c>
    </row>
    <row r="28" spans="1:5" s="9" customFormat="1" ht="15" customHeight="1" x14ac:dyDescent="0.25">
      <c r="A28" s="33">
        <v>2010</v>
      </c>
      <c r="B28" s="10">
        <f>'[2]2010年度'!B14</f>
        <v>83659</v>
      </c>
      <c r="C28" s="14">
        <f>'[2]2010年度'!B17</f>
        <v>0.38648561421962968</v>
      </c>
      <c r="D28" s="10">
        <f>B28*C28</f>
        <v>32333</v>
      </c>
      <c r="E28" s="10">
        <f t="shared" ref="E28:E33" si="0">D28*10</f>
        <v>323330</v>
      </c>
    </row>
    <row r="29" spans="1:5" s="5" customFormat="1" ht="15" customHeight="1" x14ac:dyDescent="0.25">
      <c r="A29" s="34">
        <v>2011</v>
      </c>
      <c r="B29" s="12">
        <f>B14</f>
        <v>120699.22999999998</v>
      </c>
      <c r="C29" s="35">
        <f>B17</f>
        <v>0.33078918564766324</v>
      </c>
      <c r="D29" s="12">
        <f>B29*C29</f>
        <v>39926</v>
      </c>
      <c r="E29" s="12">
        <f t="shared" si="0"/>
        <v>399260</v>
      </c>
    </row>
    <row r="30" spans="1:5" s="9" customFormat="1" ht="15" customHeight="1" x14ac:dyDescent="0.25">
      <c r="A30" s="33">
        <v>2012</v>
      </c>
      <c r="B30" s="10">
        <f>'[2]2012年度'!B21</f>
        <v>158662.28</v>
      </c>
      <c r="C30" s="14">
        <f>'[2]2012年度'!B17</f>
        <v>0.2526098128085309</v>
      </c>
      <c r="D30" s="10">
        <f>B30*C30</f>
        <v>40079.648850574718</v>
      </c>
      <c r="E30" s="10">
        <f t="shared" si="0"/>
        <v>400796.48850574717</v>
      </c>
    </row>
    <row r="31" spans="1:5" ht="15" customHeight="1" x14ac:dyDescent="0.25">
      <c r="A31" s="33" t="s">
        <v>105</v>
      </c>
      <c r="B31" s="10">
        <f>B30+D30</f>
        <v>198741.92885057471</v>
      </c>
      <c r="C31" s="14">
        <f>D31/B31</f>
        <v>0.20166680016831698</v>
      </c>
      <c r="D31" s="10">
        <f>D30</f>
        <v>40079.648850574718</v>
      </c>
      <c r="E31" s="10">
        <f t="shared" si="0"/>
        <v>400796.48850574717</v>
      </c>
    </row>
    <row r="32" spans="1:5" ht="15" customHeight="1" x14ac:dyDescent="0.25">
      <c r="A32" s="33" t="s">
        <v>106</v>
      </c>
      <c r="B32" s="10">
        <f>B31+D31</f>
        <v>238821.57770114942</v>
      </c>
      <c r="C32" s="14">
        <f>D32/B32</f>
        <v>0.16782256124582087</v>
      </c>
      <c r="D32" s="10">
        <f>D31</f>
        <v>40079.648850574718</v>
      </c>
      <c r="E32" s="10">
        <f t="shared" si="0"/>
        <v>400796.48850574717</v>
      </c>
    </row>
    <row r="33" spans="1:5" ht="15" customHeight="1" x14ac:dyDescent="0.25">
      <c r="A33" s="33" t="s">
        <v>107</v>
      </c>
      <c r="B33" s="10">
        <f>B32+D32</f>
        <v>278901.22655172413</v>
      </c>
      <c r="C33" s="14">
        <f>D33/B33</f>
        <v>0.14370553097277855</v>
      </c>
      <c r="D33" s="10">
        <f>D32</f>
        <v>40079.648850574718</v>
      </c>
      <c r="E33" s="10">
        <f t="shared" si="0"/>
        <v>400796.48850574717</v>
      </c>
    </row>
  </sheetData>
  <phoneticPr fontId="1" type="noConversion"/>
  <pageMargins left="0.75" right="0.75" top="1" bottom="1" header="0.5" footer="0.5"/>
  <pageSetup paperSize="9" orientation="portrait" verticalDpi="0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AB869-5E98-4FF8-8A95-6D7F5A9998EA}">
  <dimension ref="A1:D19"/>
  <sheetViews>
    <sheetView workbookViewId="0">
      <selection activeCell="A22" sqref="A22"/>
    </sheetView>
  </sheetViews>
  <sheetFormatPr defaultRowHeight="15.6" x14ac:dyDescent="0.25"/>
  <cols>
    <col min="1" max="1" width="12.6640625" style="6" bestFit="1" customWidth="1"/>
    <col min="2" max="2" width="8.88671875" style="6"/>
    <col min="3" max="3" width="12.6640625" style="6" bestFit="1" customWidth="1"/>
    <col min="4" max="256" width="8.88671875" style="6"/>
    <col min="257" max="257" width="12.6640625" style="6" bestFit="1" customWidth="1"/>
    <col min="258" max="258" width="8.88671875" style="6"/>
    <col min="259" max="259" width="12.6640625" style="6" bestFit="1" customWidth="1"/>
    <col min="260" max="512" width="8.88671875" style="6"/>
    <col min="513" max="513" width="12.6640625" style="6" bestFit="1" customWidth="1"/>
    <col min="514" max="514" width="8.88671875" style="6"/>
    <col min="515" max="515" width="12.6640625" style="6" bestFit="1" customWidth="1"/>
    <col min="516" max="768" width="8.88671875" style="6"/>
    <col min="769" max="769" width="12.6640625" style="6" bestFit="1" customWidth="1"/>
    <col min="770" max="770" width="8.88671875" style="6"/>
    <col min="771" max="771" width="12.6640625" style="6" bestFit="1" customWidth="1"/>
    <col min="772" max="1024" width="8.88671875" style="6"/>
    <col min="1025" max="1025" width="12.6640625" style="6" bestFit="1" customWidth="1"/>
    <col min="1026" max="1026" width="8.88671875" style="6"/>
    <col min="1027" max="1027" width="12.6640625" style="6" bestFit="1" customWidth="1"/>
    <col min="1028" max="1280" width="8.88671875" style="6"/>
    <col min="1281" max="1281" width="12.6640625" style="6" bestFit="1" customWidth="1"/>
    <col min="1282" max="1282" width="8.88671875" style="6"/>
    <col min="1283" max="1283" width="12.6640625" style="6" bestFit="1" customWidth="1"/>
    <col min="1284" max="1536" width="8.88671875" style="6"/>
    <col min="1537" max="1537" width="12.6640625" style="6" bestFit="1" customWidth="1"/>
    <col min="1538" max="1538" width="8.88671875" style="6"/>
    <col min="1539" max="1539" width="12.6640625" style="6" bestFit="1" customWidth="1"/>
    <col min="1540" max="1792" width="8.88671875" style="6"/>
    <col min="1793" max="1793" width="12.6640625" style="6" bestFit="1" customWidth="1"/>
    <col min="1794" max="1794" width="8.88671875" style="6"/>
    <col min="1795" max="1795" width="12.6640625" style="6" bestFit="1" customWidth="1"/>
    <col min="1796" max="2048" width="8.88671875" style="6"/>
    <col min="2049" max="2049" width="12.6640625" style="6" bestFit="1" customWidth="1"/>
    <col min="2050" max="2050" width="8.88671875" style="6"/>
    <col min="2051" max="2051" width="12.6640625" style="6" bestFit="1" customWidth="1"/>
    <col min="2052" max="2304" width="8.88671875" style="6"/>
    <col min="2305" max="2305" width="12.6640625" style="6" bestFit="1" customWidth="1"/>
    <col min="2306" max="2306" width="8.88671875" style="6"/>
    <col min="2307" max="2307" width="12.6640625" style="6" bestFit="1" customWidth="1"/>
    <col min="2308" max="2560" width="8.88671875" style="6"/>
    <col min="2561" max="2561" width="12.6640625" style="6" bestFit="1" customWidth="1"/>
    <col min="2562" max="2562" width="8.88671875" style="6"/>
    <col min="2563" max="2563" width="12.6640625" style="6" bestFit="1" customWidth="1"/>
    <col min="2564" max="2816" width="8.88671875" style="6"/>
    <col min="2817" max="2817" width="12.6640625" style="6" bestFit="1" customWidth="1"/>
    <col min="2818" max="2818" width="8.88671875" style="6"/>
    <col min="2819" max="2819" width="12.6640625" style="6" bestFit="1" customWidth="1"/>
    <col min="2820" max="3072" width="8.88671875" style="6"/>
    <col min="3073" max="3073" width="12.6640625" style="6" bestFit="1" customWidth="1"/>
    <col min="3074" max="3074" width="8.88671875" style="6"/>
    <col min="3075" max="3075" width="12.6640625" style="6" bestFit="1" customWidth="1"/>
    <col min="3076" max="3328" width="8.88671875" style="6"/>
    <col min="3329" max="3329" width="12.6640625" style="6" bestFit="1" customWidth="1"/>
    <col min="3330" max="3330" width="8.88671875" style="6"/>
    <col min="3331" max="3331" width="12.6640625" style="6" bestFit="1" customWidth="1"/>
    <col min="3332" max="3584" width="8.88671875" style="6"/>
    <col min="3585" max="3585" width="12.6640625" style="6" bestFit="1" customWidth="1"/>
    <col min="3586" max="3586" width="8.88671875" style="6"/>
    <col min="3587" max="3587" width="12.6640625" style="6" bestFit="1" customWidth="1"/>
    <col min="3588" max="3840" width="8.88671875" style="6"/>
    <col min="3841" max="3841" width="12.6640625" style="6" bestFit="1" customWidth="1"/>
    <col min="3842" max="3842" width="8.88671875" style="6"/>
    <col min="3843" max="3843" width="12.6640625" style="6" bestFit="1" customWidth="1"/>
    <col min="3844" max="4096" width="8.88671875" style="6"/>
    <col min="4097" max="4097" width="12.6640625" style="6" bestFit="1" customWidth="1"/>
    <col min="4098" max="4098" width="8.88671875" style="6"/>
    <col min="4099" max="4099" width="12.6640625" style="6" bestFit="1" customWidth="1"/>
    <col min="4100" max="4352" width="8.88671875" style="6"/>
    <col min="4353" max="4353" width="12.6640625" style="6" bestFit="1" customWidth="1"/>
    <col min="4354" max="4354" width="8.88671875" style="6"/>
    <col min="4355" max="4355" width="12.6640625" style="6" bestFit="1" customWidth="1"/>
    <col min="4356" max="4608" width="8.88671875" style="6"/>
    <col min="4609" max="4609" width="12.6640625" style="6" bestFit="1" customWidth="1"/>
    <col min="4610" max="4610" width="8.88671875" style="6"/>
    <col min="4611" max="4611" width="12.6640625" style="6" bestFit="1" customWidth="1"/>
    <col min="4612" max="4864" width="8.88671875" style="6"/>
    <col min="4865" max="4865" width="12.6640625" style="6" bestFit="1" customWidth="1"/>
    <col min="4866" max="4866" width="8.88671875" style="6"/>
    <col min="4867" max="4867" width="12.6640625" style="6" bestFit="1" customWidth="1"/>
    <col min="4868" max="5120" width="8.88671875" style="6"/>
    <col min="5121" max="5121" width="12.6640625" style="6" bestFit="1" customWidth="1"/>
    <col min="5122" max="5122" width="8.88671875" style="6"/>
    <col min="5123" max="5123" width="12.6640625" style="6" bestFit="1" customWidth="1"/>
    <col min="5124" max="5376" width="8.88671875" style="6"/>
    <col min="5377" max="5377" width="12.6640625" style="6" bestFit="1" customWidth="1"/>
    <col min="5378" max="5378" width="8.88671875" style="6"/>
    <col min="5379" max="5379" width="12.6640625" style="6" bestFit="1" customWidth="1"/>
    <col min="5380" max="5632" width="8.88671875" style="6"/>
    <col min="5633" max="5633" width="12.6640625" style="6" bestFit="1" customWidth="1"/>
    <col min="5634" max="5634" width="8.88671875" style="6"/>
    <col min="5635" max="5635" width="12.6640625" style="6" bestFit="1" customWidth="1"/>
    <col min="5636" max="5888" width="8.88671875" style="6"/>
    <col min="5889" max="5889" width="12.6640625" style="6" bestFit="1" customWidth="1"/>
    <col min="5890" max="5890" width="8.88671875" style="6"/>
    <col min="5891" max="5891" width="12.6640625" style="6" bestFit="1" customWidth="1"/>
    <col min="5892" max="6144" width="8.88671875" style="6"/>
    <col min="6145" max="6145" width="12.6640625" style="6" bestFit="1" customWidth="1"/>
    <col min="6146" max="6146" width="8.88671875" style="6"/>
    <col min="6147" max="6147" width="12.6640625" style="6" bestFit="1" customWidth="1"/>
    <col min="6148" max="6400" width="8.88671875" style="6"/>
    <col min="6401" max="6401" width="12.6640625" style="6" bestFit="1" customWidth="1"/>
    <col min="6402" max="6402" width="8.88671875" style="6"/>
    <col min="6403" max="6403" width="12.6640625" style="6" bestFit="1" customWidth="1"/>
    <col min="6404" max="6656" width="8.88671875" style="6"/>
    <col min="6657" max="6657" width="12.6640625" style="6" bestFit="1" customWidth="1"/>
    <col min="6658" max="6658" width="8.88671875" style="6"/>
    <col min="6659" max="6659" width="12.6640625" style="6" bestFit="1" customWidth="1"/>
    <col min="6660" max="6912" width="8.88671875" style="6"/>
    <col min="6913" max="6913" width="12.6640625" style="6" bestFit="1" customWidth="1"/>
    <col min="6914" max="6914" width="8.88671875" style="6"/>
    <col min="6915" max="6915" width="12.6640625" style="6" bestFit="1" customWidth="1"/>
    <col min="6916" max="7168" width="8.88671875" style="6"/>
    <col min="7169" max="7169" width="12.6640625" style="6" bestFit="1" customWidth="1"/>
    <col min="7170" max="7170" width="8.88671875" style="6"/>
    <col min="7171" max="7171" width="12.6640625" style="6" bestFit="1" customWidth="1"/>
    <col min="7172" max="7424" width="8.88671875" style="6"/>
    <col min="7425" max="7425" width="12.6640625" style="6" bestFit="1" customWidth="1"/>
    <col min="7426" max="7426" width="8.88671875" style="6"/>
    <col min="7427" max="7427" width="12.6640625" style="6" bestFit="1" customWidth="1"/>
    <col min="7428" max="7680" width="8.88671875" style="6"/>
    <col min="7681" max="7681" width="12.6640625" style="6" bestFit="1" customWidth="1"/>
    <col min="7682" max="7682" width="8.88671875" style="6"/>
    <col min="7683" max="7683" width="12.6640625" style="6" bestFit="1" customWidth="1"/>
    <col min="7684" max="7936" width="8.88671875" style="6"/>
    <col min="7937" max="7937" width="12.6640625" style="6" bestFit="1" customWidth="1"/>
    <col min="7938" max="7938" width="8.88671875" style="6"/>
    <col min="7939" max="7939" width="12.6640625" style="6" bestFit="1" customWidth="1"/>
    <col min="7940" max="8192" width="8.88671875" style="6"/>
    <col min="8193" max="8193" width="12.6640625" style="6" bestFit="1" customWidth="1"/>
    <col min="8194" max="8194" width="8.88671875" style="6"/>
    <col min="8195" max="8195" width="12.6640625" style="6" bestFit="1" customWidth="1"/>
    <col min="8196" max="8448" width="8.88671875" style="6"/>
    <col min="8449" max="8449" width="12.6640625" style="6" bestFit="1" customWidth="1"/>
    <col min="8450" max="8450" width="8.88671875" style="6"/>
    <col min="8451" max="8451" width="12.6640625" style="6" bestFit="1" customWidth="1"/>
    <col min="8452" max="8704" width="8.88671875" style="6"/>
    <col min="8705" max="8705" width="12.6640625" style="6" bestFit="1" customWidth="1"/>
    <col min="8706" max="8706" width="8.88671875" style="6"/>
    <col min="8707" max="8707" width="12.6640625" style="6" bestFit="1" customWidth="1"/>
    <col min="8708" max="8960" width="8.88671875" style="6"/>
    <col min="8961" max="8961" width="12.6640625" style="6" bestFit="1" customWidth="1"/>
    <col min="8962" max="8962" width="8.88671875" style="6"/>
    <col min="8963" max="8963" width="12.6640625" style="6" bestFit="1" customWidth="1"/>
    <col min="8964" max="9216" width="8.88671875" style="6"/>
    <col min="9217" max="9217" width="12.6640625" style="6" bestFit="1" customWidth="1"/>
    <col min="9218" max="9218" width="8.88671875" style="6"/>
    <col min="9219" max="9219" width="12.6640625" style="6" bestFit="1" customWidth="1"/>
    <col min="9220" max="9472" width="8.88671875" style="6"/>
    <col min="9473" max="9473" width="12.6640625" style="6" bestFit="1" customWidth="1"/>
    <col min="9474" max="9474" width="8.88671875" style="6"/>
    <col min="9475" max="9475" width="12.6640625" style="6" bestFit="1" customWidth="1"/>
    <col min="9476" max="9728" width="8.88671875" style="6"/>
    <col min="9729" max="9729" width="12.6640625" style="6" bestFit="1" customWidth="1"/>
    <col min="9730" max="9730" width="8.88671875" style="6"/>
    <col min="9731" max="9731" width="12.6640625" style="6" bestFit="1" customWidth="1"/>
    <col min="9732" max="9984" width="8.88671875" style="6"/>
    <col min="9985" max="9985" width="12.6640625" style="6" bestFit="1" customWidth="1"/>
    <col min="9986" max="9986" width="8.88671875" style="6"/>
    <col min="9987" max="9987" width="12.6640625" style="6" bestFit="1" customWidth="1"/>
    <col min="9988" max="10240" width="8.88671875" style="6"/>
    <col min="10241" max="10241" width="12.6640625" style="6" bestFit="1" customWidth="1"/>
    <col min="10242" max="10242" width="8.88671875" style="6"/>
    <col min="10243" max="10243" width="12.6640625" style="6" bestFit="1" customWidth="1"/>
    <col min="10244" max="10496" width="8.88671875" style="6"/>
    <col min="10497" max="10497" width="12.6640625" style="6" bestFit="1" customWidth="1"/>
    <col min="10498" max="10498" width="8.88671875" style="6"/>
    <col min="10499" max="10499" width="12.6640625" style="6" bestFit="1" customWidth="1"/>
    <col min="10500" max="10752" width="8.88671875" style="6"/>
    <col min="10753" max="10753" width="12.6640625" style="6" bestFit="1" customWidth="1"/>
    <col min="10754" max="10754" width="8.88671875" style="6"/>
    <col min="10755" max="10755" width="12.6640625" style="6" bestFit="1" customWidth="1"/>
    <col min="10756" max="11008" width="8.88671875" style="6"/>
    <col min="11009" max="11009" width="12.6640625" style="6" bestFit="1" customWidth="1"/>
    <col min="11010" max="11010" width="8.88671875" style="6"/>
    <col min="11011" max="11011" width="12.6640625" style="6" bestFit="1" customWidth="1"/>
    <col min="11012" max="11264" width="8.88671875" style="6"/>
    <col min="11265" max="11265" width="12.6640625" style="6" bestFit="1" customWidth="1"/>
    <col min="11266" max="11266" width="8.88671875" style="6"/>
    <col min="11267" max="11267" width="12.6640625" style="6" bestFit="1" customWidth="1"/>
    <col min="11268" max="11520" width="8.88671875" style="6"/>
    <col min="11521" max="11521" width="12.6640625" style="6" bestFit="1" customWidth="1"/>
    <col min="11522" max="11522" width="8.88671875" style="6"/>
    <col min="11523" max="11523" width="12.6640625" style="6" bestFit="1" customWidth="1"/>
    <col min="11524" max="11776" width="8.88671875" style="6"/>
    <col min="11777" max="11777" width="12.6640625" style="6" bestFit="1" customWidth="1"/>
    <col min="11778" max="11778" width="8.88671875" style="6"/>
    <col min="11779" max="11779" width="12.6640625" style="6" bestFit="1" customWidth="1"/>
    <col min="11780" max="12032" width="8.88671875" style="6"/>
    <col min="12033" max="12033" width="12.6640625" style="6" bestFit="1" customWidth="1"/>
    <col min="12034" max="12034" width="8.88671875" style="6"/>
    <col min="12035" max="12035" width="12.6640625" style="6" bestFit="1" customWidth="1"/>
    <col min="12036" max="12288" width="8.88671875" style="6"/>
    <col min="12289" max="12289" width="12.6640625" style="6" bestFit="1" customWidth="1"/>
    <col min="12290" max="12290" width="8.88671875" style="6"/>
    <col min="12291" max="12291" width="12.6640625" style="6" bestFit="1" customWidth="1"/>
    <col min="12292" max="12544" width="8.88671875" style="6"/>
    <col min="12545" max="12545" width="12.6640625" style="6" bestFit="1" customWidth="1"/>
    <col min="12546" max="12546" width="8.88671875" style="6"/>
    <col min="12547" max="12547" width="12.6640625" style="6" bestFit="1" customWidth="1"/>
    <col min="12548" max="12800" width="8.88671875" style="6"/>
    <col min="12801" max="12801" width="12.6640625" style="6" bestFit="1" customWidth="1"/>
    <col min="12802" max="12802" width="8.88671875" style="6"/>
    <col min="12803" max="12803" width="12.6640625" style="6" bestFit="1" customWidth="1"/>
    <col min="12804" max="13056" width="8.88671875" style="6"/>
    <col min="13057" max="13057" width="12.6640625" style="6" bestFit="1" customWidth="1"/>
    <col min="13058" max="13058" width="8.88671875" style="6"/>
    <col min="13059" max="13059" width="12.6640625" style="6" bestFit="1" customWidth="1"/>
    <col min="13060" max="13312" width="8.88671875" style="6"/>
    <col min="13313" max="13313" width="12.6640625" style="6" bestFit="1" customWidth="1"/>
    <col min="13314" max="13314" width="8.88671875" style="6"/>
    <col min="13315" max="13315" width="12.6640625" style="6" bestFit="1" customWidth="1"/>
    <col min="13316" max="13568" width="8.88671875" style="6"/>
    <col min="13569" max="13569" width="12.6640625" style="6" bestFit="1" customWidth="1"/>
    <col min="13570" max="13570" width="8.88671875" style="6"/>
    <col min="13571" max="13571" width="12.6640625" style="6" bestFit="1" customWidth="1"/>
    <col min="13572" max="13824" width="8.88671875" style="6"/>
    <col min="13825" max="13825" width="12.6640625" style="6" bestFit="1" customWidth="1"/>
    <col min="13826" max="13826" width="8.88671875" style="6"/>
    <col min="13827" max="13827" width="12.6640625" style="6" bestFit="1" customWidth="1"/>
    <col min="13828" max="14080" width="8.88671875" style="6"/>
    <col min="14081" max="14081" width="12.6640625" style="6" bestFit="1" customWidth="1"/>
    <col min="14082" max="14082" width="8.88671875" style="6"/>
    <col min="14083" max="14083" width="12.6640625" style="6" bestFit="1" customWidth="1"/>
    <col min="14084" max="14336" width="8.88671875" style="6"/>
    <col min="14337" max="14337" width="12.6640625" style="6" bestFit="1" customWidth="1"/>
    <col min="14338" max="14338" width="8.88671875" style="6"/>
    <col min="14339" max="14339" width="12.6640625" style="6" bestFit="1" customWidth="1"/>
    <col min="14340" max="14592" width="8.88671875" style="6"/>
    <col min="14593" max="14593" width="12.6640625" style="6" bestFit="1" customWidth="1"/>
    <col min="14594" max="14594" width="8.88671875" style="6"/>
    <col min="14595" max="14595" width="12.6640625" style="6" bestFit="1" customWidth="1"/>
    <col min="14596" max="14848" width="8.88671875" style="6"/>
    <col min="14849" max="14849" width="12.6640625" style="6" bestFit="1" customWidth="1"/>
    <col min="14850" max="14850" width="8.88671875" style="6"/>
    <col min="14851" max="14851" width="12.6640625" style="6" bestFit="1" customWidth="1"/>
    <col min="14852" max="15104" width="8.88671875" style="6"/>
    <col min="15105" max="15105" width="12.6640625" style="6" bestFit="1" customWidth="1"/>
    <col min="15106" max="15106" width="8.88671875" style="6"/>
    <col min="15107" max="15107" width="12.6640625" style="6" bestFit="1" customWidth="1"/>
    <col min="15108" max="15360" width="8.88671875" style="6"/>
    <col min="15361" max="15361" width="12.6640625" style="6" bestFit="1" customWidth="1"/>
    <col min="15362" max="15362" width="8.88671875" style="6"/>
    <col min="15363" max="15363" width="12.6640625" style="6" bestFit="1" customWidth="1"/>
    <col min="15364" max="15616" width="8.88671875" style="6"/>
    <col min="15617" max="15617" width="12.6640625" style="6" bestFit="1" customWidth="1"/>
    <col min="15618" max="15618" width="8.88671875" style="6"/>
    <col min="15619" max="15619" width="12.6640625" style="6" bestFit="1" customWidth="1"/>
    <col min="15620" max="15872" width="8.88671875" style="6"/>
    <col min="15873" max="15873" width="12.6640625" style="6" bestFit="1" customWidth="1"/>
    <col min="15874" max="15874" width="8.88671875" style="6"/>
    <col min="15875" max="15875" width="12.6640625" style="6" bestFit="1" customWidth="1"/>
    <col min="15876" max="16128" width="8.88671875" style="6"/>
    <col min="16129" max="16129" width="12.6640625" style="6" bestFit="1" customWidth="1"/>
    <col min="16130" max="16130" width="8.88671875" style="6"/>
    <col min="16131" max="16131" width="12.6640625" style="6" bestFit="1" customWidth="1"/>
    <col min="16132" max="16384" width="8.88671875" style="6"/>
  </cols>
  <sheetData>
    <row r="1" spans="1:4" s="27" customForma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x14ac:dyDescent="0.25">
      <c r="A5" s="8" t="s">
        <v>27</v>
      </c>
      <c r="B5" s="10">
        <v>3000</v>
      </c>
      <c r="C5" s="8" t="s">
        <v>28</v>
      </c>
      <c r="D5" s="9">
        <v>0</v>
      </c>
    </row>
    <row r="6" spans="1:4" x14ac:dyDescent="0.25">
      <c r="A6" s="7" t="s">
        <v>29</v>
      </c>
      <c r="B6" s="10">
        <v>3000</v>
      </c>
      <c r="C6" s="7" t="s">
        <v>30</v>
      </c>
      <c r="D6" s="9">
        <v>0</v>
      </c>
    </row>
    <row r="7" spans="1:4" x14ac:dyDescent="0.25">
      <c r="A7" s="8" t="s">
        <v>31</v>
      </c>
      <c r="B7" s="10">
        <v>21396</v>
      </c>
      <c r="C7" s="8" t="s">
        <v>32</v>
      </c>
      <c r="D7" s="9">
        <v>0</v>
      </c>
    </row>
    <row r="8" spans="1:4" x14ac:dyDescent="0.25">
      <c r="A8" s="8" t="s">
        <v>33</v>
      </c>
      <c r="B8" s="10">
        <v>96548</v>
      </c>
      <c r="C8" s="8" t="s">
        <v>34</v>
      </c>
      <c r="D8" s="9">
        <v>0</v>
      </c>
    </row>
    <row r="9" spans="1:4" x14ac:dyDescent="0.25">
      <c r="A9" s="8" t="s">
        <v>35</v>
      </c>
      <c r="B9" s="10">
        <f>30000*1.15</f>
        <v>34500</v>
      </c>
      <c r="C9" s="8" t="s">
        <v>36</v>
      </c>
      <c r="D9" s="10">
        <f>40000+36800-15</f>
        <v>76785</v>
      </c>
    </row>
    <row r="10" spans="1:4" x14ac:dyDescent="0.25">
      <c r="A10" s="8" t="s">
        <v>108</v>
      </c>
      <c r="B10" s="10">
        <v>3300</v>
      </c>
      <c r="C10" s="7" t="s">
        <v>38</v>
      </c>
      <c r="D10" s="10">
        <f>SUM(D7:D9)</f>
        <v>76785</v>
      </c>
    </row>
    <row r="11" spans="1:4" x14ac:dyDescent="0.25">
      <c r="A11" s="8" t="s">
        <v>109</v>
      </c>
      <c r="B11" s="10">
        <v>1700</v>
      </c>
      <c r="C11" s="7" t="s">
        <v>40</v>
      </c>
      <c r="D11" s="10">
        <f>D6+D10</f>
        <v>76785</v>
      </c>
    </row>
    <row r="12" spans="1:4" x14ac:dyDescent="0.25">
      <c r="A12" s="7" t="s">
        <v>41</v>
      </c>
      <c r="B12" s="10">
        <f>SUM(B7:B11)</f>
        <v>157444</v>
      </c>
      <c r="C12" s="9"/>
      <c r="D12" s="9"/>
    </row>
    <row r="13" spans="1:4" x14ac:dyDescent="0.25">
      <c r="A13" s="7" t="s">
        <v>42</v>
      </c>
      <c r="B13" s="36">
        <f>B12+B6</f>
        <v>160444</v>
      </c>
      <c r="C13" s="9"/>
      <c r="D13" s="9"/>
    </row>
    <row r="14" spans="1:4" x14ac:dyDescent="0.25">
      <c r="A14" s="7" t="s">
        <v>43</v>
      </c>
      <c r="B14" s="36">
        <f>B13-D11</f>
        <v>83659</v>
      </c>
      <c r="C14" s="10"/>
      <c r="D14" s="9"/>
    </row>
    <row r="15" spans="1:4" x14ac:dyDescent="0.25">
      <c r="A15" s="7" t="s">
        <v>44</v>
      </c>
      <c r="B15" s="10">
        <v>32333</v>
      </c>
      <c r="C15" s="9"/>
      <c r="D15" s="9"/>
    </row>
    <row r="16" spans="1:4" x14ac:dyDescent="0.25">
      <c r="A16" s="7" t="s">
        <v>45</v>
      </c>
      <c r="B16" s="14">
        <f>D11/B13</f>
        <v>0.47857819550746677</v>
      </c>
      <c r="C16" s="9"/>
      <c r="D16" s="9"/>
    </row>
    <row r="17" spans="1:4" x14ac:dyDescent="0.25">
      <c r="A17" s="5" t="s">
        <v>46</v>
      </c>
      <c r="B17" s="14">
        <f>B15/B14</f>
        <v>0.38648561421962968</v>
      </c>
      <c r="C17" s="18"/>
      <c r="D17" s="18"/>
    </row>
    <row r="19" spans="1:4" x14ac:dyDescent="0.25">
      <c r="A19" s="8" t="s">
        <v>110</v>
      </c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BDB33-4B91-46DE-BBCD-FA229EF3C4C1}">
  <dimension ref="A1:D17"/>
  <sheetViews>
    <sheetView workbookViewId="0">
      <selection activeCell="C14" sqref="C14"/>
    </sheetView>
  </sheetViews>
  <sheetFormatPr defaultRowHeight="15" customHeight="1" x14ac:dyDescent="0.25"/>
  <cols>
    <col min="1" max="1" width="12.6640625" style="6" bestFit="1" customWidth="1"/>
    <col min="2" max="2" width="8.88671875" style="6"/>
    <col min="3" max="3" width="12.6640625" style="6" bestFit="1" customWidth="1"/>
    <col min="4" max="256" width="8.88671875" style="6"/>
    <col min="257" max="257" width="12.6640625" style="6" bestFit="1" customWidth="1"/>
    <col min="258" max="258" width="8.88671875" style="6"/>
    <col min="259" max="259" width="12.6640625" style="6" bestFit="1" customWidth="1"/>
    <col min="260" max="512" width="8.88671875" style="6"/>
    <col min="513" max="513" width="12.6640625" style="6" bestFit="1" customWidth="1"/>
    <col min="514" max="514" width="8.88671875" style="6"/>
    <col min="515" max="515" width="12.6640625" style="6" bestFit="1" customWidth="1"/>
    <col min="516" max="768" width="8.88671875" style="6"/>
    <col min="769" max="769" width="12.6640625" style="6" bestFit="1" customWidth="1"/>
    <col min="770" max="770" width="8.88671875" style="6"/>
    <col min="771" max="771" width="12.6640625" style="6" bestFit="1" customWidth="1"/>
    <col min="772" max="1024" width="8.88671875" style="6"/>
    <col min="1025" max="1025" width="12.6640625" style="6" bestFit="1" customWidth="1"/>
    <col min="1026" max="1026" width="8.88671875" style="6"/>
    <col min="1027" max="1027" width="12.6640625" style="6" bestFit="1" customWidth="1"/>
    <col min="1028" max="1280" width="8.88671875" style="6"/>
    <col min="1281" max="1281" width="12.6640625" style="6" bestFit="1" customWidth="1"/>
    <col min="1282" max="1282" width="8.88671875" style="6"/>
    <col min="1283" max="1283" width="12.6640625" style="6" bestFit="1" customWidth="1"/>
    <col min="1284" max="1536" width="8.88671875" style="6"/>
    <col min="1537" max="1537" width="12.6640625" style="6" bestFit="1" customWidth="1"/>
    <col min="1538" max="1538" width="8.88671875" style="6"/>
    <col min="1539" max="1539" width="12.6640625" style="6" bestFit="1" customWidth="1"/>
    <col min="1540" max="1792" width="8.88671875" style="6"/>
    <col min="1793" max="1793" width="12.6640625" style="6" bestFit="1" customWidth="1"/>
    <col min="1794" max="1794" width="8.88671875" style="6"/>
    <col min="1795" max="1795" width="12.6640625" style="6" bestFit="1" customWidth="1"/>
    <col min="1796" max="2048" width="8.88671875" style="6"/>
    <col min="2049" max="2049" width="12.6640625" style="6" bestFit="1" customWidth="1"/>
    <col min="2050" max="2050" width="8.88671875" style="6"/>
    <col min="2051" max="2051" width="12.6640625" style="6" bestFit="1" customWidth="1"/>
    <col min="2052" max="2304" width="8.88671875" style="6"/>
    <col min="2305" max="2305" width="12.6640625" style="6" bestFit="1" customWidth="1"/>
    <col min="2306" max="2306" width="8.88671875" style="6"/>
    <col min="2307" max="2307" width="12.6640625" style="6" bestFit="1" customWidth="1"/>
    <col min="2308" max="2560" width="8.88671875" style="6"/>
    <col min="2561" max="2561" width="12.6640625" style="6" bestFit="1" customWidth="1"/>
    <col min="2562" max="2562" width="8.88671875" style="6"/>
    <col min="2563" max="2563" width="12.6640625" style="6" bestFit="1" customWidth="1"/>
    <col min="2564" max="2816" width="8.88671875" style="6"/>
    <col min="2817" max="2817" width="12.6640625" style="6" bestFit="1" customWidth="1"/>
    <col min="2818" max="2818" width="8.88671875" style="6"/>
    <col min="2819" max="2819" width="12.6640625" style="6" bestFit="1" customWidth="1"/>
    <col min="2820" max="3072" width="8.88671875" style="6"/>
    <col min="3073" max="3073" width="12.6640625" style="6" bestFit="1" customWidth="1"/>
    <col min="3074" max="3074" width="8.88671875" style="6"/>
    <col min="3075" max="3075" width="12.6640625" style="6" bestFit="1" customWidth="1"/>
    <col min="3076" max="3328" width="8.88671875" style="6"/>
    <col min="3329" max="3329" width="12.6640625" style="6" bestFit="1" customWidth="1"/>
    <col min="3330" max="3330" width="8.88671875" style="6"/>
    <col min="3331" max="3331" width="12.6640625" style="6" bestFit="1" customWidth="1"/>
    <col min="3332" max="3584" width="8.88671875" style="6"/>
    <col min="3585" max="3585" width="12.6640625" style="6" bestFit="1" customWidth="1"/>
    <col min="3586" max="3586" width="8.88671875" style="6"/>
    <col min="3587" max="3587" width="12.6640625" style="6" bestFit="1" customWidth="1"/>
    <col min="3588" max="3840" width="8.88671875" style="6"/>
    <col min="3841" max="3841" width="12.6640625" style="6" bestFit="1" customWidth="1"/>
    <col min="3842" max="3842" width="8.88671875" style="6"/>
    <col min="3843" max="3843" width="12.6640625" style="6" bestFit="1" customWidth="1"/>
    <col min="3844" max="4096" width="8.88671875" style="6"/>
    <col min="4097" max="4097" width="12.6640625" style="6" bestFit="1" customWidth="1"/>
    <col min="4098" max="4098" width="8.88671875" style="6"/>
    <col min="4099" max="4099" width="12.6640625" style="6" bestFit="1" customWidth="1"/>
    <col min="4100" max="4352" width="8.88671875" style="6"/>
    <col min="4353" max="4353" width="12.6640625" style="6" bestFit="1" customWidth="1"/>
    <col min="4354" max="4354" width="8.88671875" style="6"/>
    <col min="4355" max="4355" width="12.6640625" style="6" bestFit="1" customWidth="1"/>
    <col min="4356" max="4608" width="8.88671875" style="6"/>
    <col min="4609" max="4609" width="12.6640625" style="6" bestFit="1" customWidth="1"/>
    <col min="4610" max="4610" width="8.88671875" style="6"/>
    <col min="4611" max="4611" width="12.6640625" style="6" bestFit="1" customWidth="1"/>
    <col min="4612" max="4864" width="8.88671875" style="6"/>
    <col min="4865" max="4865" width="12.6640625" style="6" bestFit="1" customWidth="1"/>
    <col min="4866" max="4866" width="8.88671875" style="6"/>
    <col min="4867" max="4867" width="12.6640625" style="6" bestFit="1" customWidth="1"/>
    <col min="4868" max="5120" width="8.88671875" style="6"/>
    <col min="5121" max="5121" width="12.6640625" style="6" bestFit="1" customWidth="1"/>
    <col min="5122" max="5122" width="8.88671875" style="6"/>
    <col min="5123" max="5123" width="12.6640625" style="6" bestFit="1" customWidth="1"/>
    <col min="5124" max="5376" width="8.88671875" style="6"/>
    <col min="5377" max="5377" width="12.6640625" style="6" bestFit="1" customWidth="1"/>
    <col min="5378" max="5378" width="8.88671875" style="6"/>
    <col min="5379" max="5379" width="12.6640625" style="6" bestFit="1" customWidth="1"/>
    <col min="5380" max="5632" width="8.88671875" style="6"/>
    <col min="5633" max="5633" width="12.6640625" style="6" bestFit="1" customWidth="1"/>
    <col min="5634" max="5634" width="8.88671875" style="6"/>
    <col min="5635" max="5635" width="12.6640625" style="6" bestFit="1" customWidth="1"/>
    <col min="5636" max="5888" width="8.88671875" style="6"/>
    <col min="5889" max="5889" width="12.6640625" style="6" bestFit="1" customWidth="1"/>
    <col min="5890" max="5890" width="8.88671875" style="6"/>
    <col min="5891" max="5891" width="12.6640625" style="6" bestFit="1" customWidth="1"/>
    <col min="5892" max="6144" width="8.88671875" style="6"/>
    <col min="6145" max="6145" width="12.6640625" style="6" bestFit="1" customWidth="1"/>
    <col min="6146" max="6146" width="8.88671875" style="6"/>
    <col min="6147" max="6147" width="12.6640625" style="6" bestFit="1" customWidth="1"/>
    <col min="6148" max="6400" width="8.88671875" style="6"/>
    <col min="6401" max="6401" width="12.6640625" style="6" bestFit="1" customWidth="1"/>
    <col min="6402" max="6402" width="8.88671875" style="6"/>
    <col min="6403" max="6403" width="12.6640625" style="6" bestFit="1" customWidth="1"/>
    <col min="6404" max="6656" width="8.88671875" style="6"/>
    <col min="6657" max="6657" width="12.6640625" style="6" bestFit="1" customWidth="1"/>
    <col min="6658" max="6658" width="8.88671875" style="6"/>
    <col min="6659" max="6659" width="12.6640625" style="6" bestFit="1" customWidth="1"/>
    <col min="6660" max="6912" width="8.88671875" style="6"/>
    <col min="6913" max="6913" width="12.6640625" style="6" bestFit="1" customWidth="1"/>
    <col min="6914" max="6914" width="8.88671875" style="6"/>
    <col min="6915" max="6915" width="12.6640625" style="6" bestFit="1" customWidth="1"/>
    <col min="6916" max="7168" width="8.88671875" style="6"/>
    <col min="7169" max="7169" width="12.6640625" style="6" bestFit="1" customWidth="1"/>
    <col min="7170" max="7170" width="8.88671875" style="6"/>
    <col min="7171" max="7171" width="12.6640625" style="6" bestFit="1" customWidth="1"/>
    <col min="7172" max="7424" width="8.88671875" style="6"/>
    <col min="7425" max="7425" width="12.6640625" style="6" bestFit="1" customWidth="1"/>
    <col min="7426" max="7426" width="8.88671875" style="6"/>
    <col min="7427" max="7427" width="12.6640625" style="6" bestFit="1" customWidth="1"/>
    <col min="7428" max="7680" width="8.88671875" style="6"/>
    <col min="7681" max="7681" width="12.6640625" style="6" bestFit="1" customWidth="1"/>
    <col min="7682" max="7682" width="8.88671875" style="6"/>
    <col min="7683" max="7683" width="12.6640625" style="6" bestFit="1" customWidth="1"/>
    <col min="7684" max="7936" width="8.88671875" style="6"/>
    <col min="7937" max="7937" width="12.6640625" style="6" bestFit="1" customWidth="1"/>
    <col min="7938" max="7938" width="8.88671875" style="6"/>
    <col min="7939" max="7939" width="12.6640625" style="6" bestFit="1" customWidth="1"/>
    <col min="7940" max="8192" width="8.88671875" style="6"/>
    <col min="8193" max="8193" width="12.6640625" style="6" bestFit="1" customWidth="1"/>
    <col min="8194" max="8194" width="8.88671875" style="6"/>
    <col min="8195" max="8195" width="12.6640625" style="6" bestFit="1" customWidth="1"/>
    <col min="8196" max="8448" width="8.88671875" style="6"/>
    <col min="8449" max="8449" width="12.6640625" style="6" bestFit="1" customWidth="1"/>
    <col min="8450" max="8450" width="8.88671875" style="6"/>
    <col min="8451" max="8451" width="12.6640625" style="6" bestFit="1" customWidth="1"/>
    <col min="8452" max="8704" width="8.88671875" style="6"/>
    <col min="8705" max="8705" width="12.6640625" style="6" bestFit="1" customWidth="1"/>
    <col min="8706" max="8706" width="8.88671875" style="6"/>
    <col min="8707" max="8707" width="12.6640625" style="6" bestFit="1" customWidth="1"/>
    <col min="8708" max="8960" width="8.88671875" style="6"/>
    <col min="8961" max="8961" width="12.6640625" style="6" bestFit="1" customWidth="1"/>
    <col min="8962" max="8962" width="8.88671875" style="6"/>
    <col min="8963" max="8963" width="12.6640625" style="6" bestFit="1" customWidth="1"/>
    <col min="8964" max="9216" width="8.88671875" style="6"/>
    <col min="9217" max="9217" width="12.6640625" style="6" bestFit="1" customWidth="1"/>
    <col min="9218" max="9218" width="8.88671875" style="6"/>
    <col min="9219" max="9219" width="12.6640625" style="6" bestFit="1" customWidth="1"/>
    <col min="9220" max="9472" width="8.88671875" style="6"/>
    <col min="9473" max="9473" width="12.6640625" style="6" bestFit="1" customWidth="1"/>
    <col min="9474" max="9474" width="8.88671875" style="6"/>
    <col min="9475" max="9475" width="12.6640625" style="6" bestFit="1" customWidth="1"/>
    <col min="9476" max="9728" width="8.88671875" style="6"/>
    <col min="9729" max="9729" width="12.6640625" style="6" bestFit="1" customWidth="1"/>
    <col min="9730" max="9730" width="8.88671875" style="6"/>
    <col min="9731" max="9731" width="12.6640625" style="6" bestFit="1" customWidth="1"/>
    <col min="9732" max="9984" width="8.88671875" style="6"/>
    <col min="9985" max="9985" width="12.6640625" style="6" bestFit="1" customWidth="1"/>
    <col min="9986" max="9986" width="8.88671875" style="6"/>
    <col min="9987" max="9987" width="12.6640625" style="6" bestFit="1" customWidth="1"/>
    <col min="9988" max="10240" width="8.88671875" style="6"/>
    <col min="10241" max="10241" width="12.6640625" style="6" bestFit="1" customWidth="1"/>
    <col min="10242" max="10242" width="8.88671875" style="6"/>
    <col min="10243" max="10243" width="12.6640625" style="6" bestFit="1" customWidth="1"/>
    <col min="10244" max="10496" width="8.88671875" style="6"/>
    <col min="10497" max="10497" width="12.6640625" style="6" bestFit="1" customWidth="1"/>
    <col min="10498" max="10498" width="8.88671875" style="6"/>
    <col min="10499" max="10499" width="12.6640625" style="6" bestFit="1" customWidth="1"/>
    <col min="10500" max="10752" width="8.88671875" style="6"/>
    <col min="10753" max="10753" width="12.6640625" style="6" bestFit="1" customWidth="1"/>
    <col min="10754" max="10754" width="8.88671875" style="6"/>
    <col min="10755" max="10755" width="12.6640625" style="6" bestFit="1" customWidth="1"/>
    <col min="10756" max="11008" width="8.88671875" style="6"/>
    <col min="11009" max="11009" width="12.6640625" style="6" bestFit="1" customWidth="1"/>
    <col min="11010" max="11010" width="8.88671875" style="6"/>
    <col min="11011" max="11011" width="12.6640625" style="6" bestFit="1" customWidth="1"/>
    <col min="11012" max="11264" width="8.88671875" style="6"/>
    <col min="11265" max="11265" width="12.6640625" style="6" bestFit="1" customWidth="1"/>
    <col min="11266" max="11266" width="8.88671875" style="6"/>
    <col min="11267" max="11267" width="12.6640625" style="6" bestFit="1" customWidth="1"/>
    <col min="11268" max="11520" width="8.88671875" style="6"/>
    <col min="11521" max="11521" width="12.6640625" style="6" bestFit="1" customWidth="1"/>
    <col min="11522" max="11522" width="8.88671875" style="6"/>
    <col min="11523" max="11523" width="12.6640625" style="6" bestFit="1" customWidth="1"/>
    <col min="11524" max="11776" width="8.88671875" style="6"/>
    <col min="11777" max="11777" width="12.6640625" style="6" bestFit="1" customWidth="1"/>
    <col min="11778" max="11778" width="8.88671875" style="6"/>
    <col min="11779" max="11779" width="12.6640625" style="6" bestFit="1" customWidth="1"/>
    <col min="11780" max="12032" width="8.88671875" style="6"/>
    <col min="12033" max="12033" width="12.6640625" style="6" bestFit="1" customWidth="1"/>
    <col min="12034" max="12034" width="8.88671875" style="6"/>
    <col min="12035" max="12035" width="12.6640625" style="6" bestFit="1" customWidth="1"/>
    <col min="12036" max="12288" width="8.88671875" style="6"/>
    <col min="12289" max="12289" width="12.6640625" style="6" bestFit="1" customWidth="1"/>
    <col min="12290" max="12290" width="8.88671875" style="6"/>
    <col min="12291" max="12291" width="12.6640625" style="6" bestFit="1" customWidth="1"/>
    <col min="12292" max="12544" width="8.88671875" style="6"/>
    <col min="12545" max="12545" width="12.6640625" style="6" bestFit="1" customWidth="1"/>
    <col min="12546" max="12546" width="8.88671875" style="6"/>
    <col min="12547" max="12547" width="12.6640625" style="6" bestFit="1" customWidth="1"/>
    <col min="12548" max="12800" width="8.88671875" style="6"/>
    <col min="12801" max="12801" width="12.6640625" style="6" bestFit="1" customWidth="1"/>
    <col min="12802" max="12802" width="8.88671875" style="6"/>
    <col min="12803" max="12803" width="12.6640625" style="6" bestFit="1" customWidth="1"/>
    <col min="12804" max="13056" width="8.88671875" style="6"/>
    <col min="13057" max="13057" width="12.6640625" style="6" bestFit="1" customWidth="1"/>
    <col min="13058" max="13058" width="8.88671875" style="6"/>
    <col min="13059" max="13059" width="12.6640625" style="6" bestFit="1" customWidth="1"/>
    <col min="13060" max="13312" width="8.88671875" style="6"/>
    <col min="13313" max="13313" width="12.6640625" style="6" bestFit="1" customWidth="1"/>
    <col min="13314" max="13314" width="8.88671875" style="6"/>
    <col min="13315" max="13315" width="12.6640625" style="6" bestFit="1" customWidth="1"/>
    <col min="13316" max="13568" width="8.88671875" style="6"/>
    <col min="13569" max="13569" width="12.6640625" style="6" bestFit="1" customWidth="1"/>
    <col min="13570" max="13570" width="8.88671875" style="6"/>
    <col min="13571" max="13571" width="12.6640625" style="6" bestFit="1" customWidth="1"/>
    <col min="13572" max="13824" width="8.88671875" style="6"/>
    <col min="13825" max="13825" width="12.6640625" style="6" bestFit="1" customWidth="1"/>
    <col min="13826" max="13826" width="8.88671875" style="6"/>
    <col min="13827" max="13827" width="12.6640625" style="6" bestFit="1" customWidth="1"/>
    <col min="13828" max="14080" width="8.88671875" style="6"/>
    <col min="14081" max="14081" width="12.6640625" style="6" bestFit="1" customWidth="1"/>
    <col min="14082" max="14082" width="8.88671875" style="6"/>
    <col min="14083" max="14083" width="12.6640625" style="6" bestFit="1" customWidth="1"/>
    <col min="14084" max="14336" width="8.88671875" style="6"/>
    <col min="14337" max="14337" width="12.6640625" style="6" bestFit="1" customWidth="1"/>
    <col min="14338" max="14338" width="8.88671875" style="6"/>
    <col min="14339" max="14339" width="12.6640625" style="6" bestFit="1" customWidth="1"/>
    <col min="14340" max="14592" width="8.88671875" style="6"/>
    <col min="14593" max="14593" width="12.6640625" style="6" bestFit="1" customWidth="1"/>
    <col min="14594" max="14594" width="8.88671875" style="6"/>
    <col min="14595" max="14595" width="12.6640625" style="6" bestFit="1" customWidth="1"/>
    <col min="14596" max="14848" width="8.88671875" style="6"/>
    <col min="14849" max="14849" width="12.6640625" style="6" bestFit="1" customWidth="1"/>
    <col min="14850" max="14850" width="8.88671875" style="6"/>
    <col min="14851" max="14851" width="12.6640625" style="6" bestFit="1" customWidth="1"/>
    <col min="14852" max="15104" width="8.88671875" style="6"/>
    <col min="15105" max="15105" width="12.6640625" style="6" bestFit="1" customWidth="1"/>
    <col min="15106" max="15106" width="8.88671875" style="6"/>
    <col min="15107" max="15107" width="12.6640625" style="6" bestFit="1" customWidth="1"/>
    <col min="15108" max="15360" width="8.88671875" style="6"/>
    <col min="15361" max="15361" width="12.6640625" style="6" bestFit="1" customWidth="1"/>
    <col min="15362" max="15362" width="8.88671875" style="6"/>
    <col min="15363" max="15363" width="12.6640625" style="6" bestFit="1" customWidth="1"/>
    <col min="15364" max="15616" width="8.88671875" style="6"/>
    <col min="15617" max="15617" width="12.6640625" style="6" bestFit="1" customWidth="1"/>
    <col min="15618" max="15618" width="8.88671875" style="6"/>
    <col min="15619" max="15619" width="12.6640625" style="6" bestFit="1" customWidth="1"/>
    <col min="15620" max="15872" width="8.88671875" style="6"/>
    <col min="15873" max="15873" width="12.6640625" style="6" bestFit="1" customWidth="1"/>
    <col min="15874" max="15874" width="8.88671875" style="6"/>
    <col min="15875" max="15875" width="12.6640625" style="6" bestFit="1" customWidth="1"/>
    <col min="15876" max="16128" width="8.88671875" style="6"/>
    <col min="16129" max="16129" width="12.6640625" style="6" bestFit="1" customWidth="1"/>
    <col min="16130" max="16130" width="8.88671875" style="6"/>
    <col min="16131" max="16131" width="12.6640625" style="6" bestFit="1" customWidth="1"/>
    <col min="16132" max="16384" width="8.88671875" style="6"/>
  </cols>
  <sheetData>
    <row r="1" spans="1:4" s="27" customFormat="1" ht="15" customHeigh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ht="15" customHeight="1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ht="15" customHeight="1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ht="15" customHeight="1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ht="15" customHeight="1" x14ac:dyDescent="0.25">
      <c r="A5" s="8" t="s">
        <v>27</v>
      </c>
      <c r="B5" s="9">
        <v>0</v>
      </c>
      <c r="C5" s="8" t="s">
        <v>28</v>
      </c>
      <c r="D5" s="9">
        <v>0</v>
      </c>
    </row>
    <row r="6" spans="1:4" ht="15" customHeight="1" x14ac:dyDescent="0.25">
      <c r="A6" s="7" t="s">
        <v>29</v>
      </c>
      <c r="B6" s="9">
        <v>0</v>
      </c>
      <c r="C6" s="7" t="s">
        <v>30</v>
      </c>
      <c r="D6" s="9">
        <v>0</v>
      </c>
    </row>
    <row r="7" spans="1:4" ht="15" customHeight="1" x14ac:dyDescent="0.25">
      <c r="A7" s="8" t="s">
        <v>31</v>
      </c>
      <c r="B7" s="10">
        <f>33977+8975</f>
        <v>42952</v>
      </c>
      <c r="C7" s="8" t="s">
        <v>32</v>
      </c>
      <c r="D7" s="9">
        <v>0</v>
      </c>
    </row>
    <row r="8" spans="1:4" ht="15" customHeight="1" x14ac:dyDescent="0.25">
      <c r="A8" s="8" t="s">
        <v>33</v>
      </c>
      <c r="B8" s="10">
        <v>0</v>
      </c>
      <c r="C8" s="8" t="s">
        <v>34</v>
      </c>
      <c r="D8" s="9">
        <v>0</v>
      </c>
    </row>
    <row r="9" spans="1:4" ht="15" customHeight="1" x14ac:dyDescent="0.25">
      <c r="A9" s="8" t="s">
        <v>35</v>
      </c>
      <c r="B9" s="10">
        <v>0</v>
      </c>
      <c r="C9" s="8" t="s">
        <v>36</v>
      </c>
      <c r="D9" s="10">
        <v>0</v>
      </c>
    </row>
    <row r="10" spans="1:4" ht="15" customHeight="1" x14ac:dyDescent="0.25">
      <c r="A10" s="8" t="s">
        <v>108</v>
      </c>
      <c r="B10" s="10">
        <v>3000</v>
      </c>
      <c r="C10" s="7" t="s">
        <v>38</v>
      </c>
      <c r="D10" s="10">
        <f>SUM(D7:D9)</f>
        <v>0</v>
      </c>
    </row>
    <row r="11" spans="1:4" ht="15" customHeight="1" x14ac:dyDescent="0.25">
      <c r="A11" s="8" t="s">
        <v>109</v>
      </c>
      <c r="B11" s="10">
        <v>1700</v>
      </c>
      <c r="C11" s="7" t="s">
        <v>40</v>
      </c>
      <c r="D11" s="10">
        <f>D6+D10</f>
        <v>0</v>
      </c>
    </row>
    <row r="12" spans="1:4" ht="15" customHeight="1" x14ac:dyDescent="0.25">
      <c r="A12" s="7" t="s">
        <v>41</v>
      </c>
      <c r="B12" s="10">
        <f>SUM(B7:B11)</f>
        <v>47652</v>
      </c>
      <c r="C12" s="9"/>
      <c r="D12" s="9"/>
    </row>
    <row r="13" spans="1:4" ht="15" customHeight="1" x14ac:dyDescent="0.25">
      <c r="A13" s="7" t="s">
        <v>42</v>
      </c>
      <c r="B13" s="36">
        <f>B12+B6</f>
        <v>47652</v>
      </c>
      <c r="C13" s="9"/>
      <c r="D13" s="9"/>
    </row>
    <row r="14" spans="1:4" ht="15" customHeight="1" x14ac:dyDescent="0.25">
      <c r="A14" s="7" t="s">
        <v>43</v>
      </c>
      <c r="B14" s="36">
        <f>B13-D11</f>
        <v>47652</v>
      </c>
      <c r="C14" s="10"/>
      <c r="D14" s="9"/>
    </row>
    <row r="15" spans="1:4" ht="15" customHeight="1" x14ac:dyDescent="0.25">
      <c r="A15" s="7" t="s">
        <v>44</v>
      </c>
      <c r="B15" s="10">
        <v>21540</v>
      </c>
      <c r="C15" s="9"/>
      <c r="D15" s="9"/>
    </row>
    <row r="16" spans="1:4" ht="15" customHeight="1" x14ac:dyDescent="0.25">
      <c r="A16" s="7" t="s">
        <v>45</v>
      </c>
      <c r="B16" s="14">
        <f>D11/B13</f>
        <v>0</v>
      </c>
      <c r="C16" s="9"/>
      <c r="D16" s="9"/>
    </row>
    <row r="17" spans="1:4" ht="15" customHeight="1" x14ac:dyDescent="0.25">
      <c r="A17" s="5" t="s">
        <v>46</v>
      </c>
      <c r="B17" s="14">
        <f>B15/B14</f>
        <v>0.45202719717955175</v>
      </c>
      <c r="C17" s="18"/>
      <c r="D17" s="18"/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C0527-27A1-4CEF-BE33-599E9E1EDAC5}">
  <dimension ref="A1:D21"/>
  <sheetViews>
    <sheetView workbookViewId="0">
      <selection activeCell="A23" sqref="A23"/>
    </sheetView>
  </sheetViews>
  <sheetFormatPr defaultRowHeight="15" customHeight="1" x14ac:dyDescent="0.25"/>
  <cols>
    <col min="1" max="1" width="12.6640625" style="6" bestFit="1" customWidth="1"/>
    <col min="2" max="2" width="8.88671875" style="6"/>
    <col min="3" max="3" width="12.6640625" style="6" bestFit="1" customWidth="1"/>
    <col min="4" max="256" width="8.88671875" style="6"/>
    <col min="257" max="257" width="12.6640625" style="6" bestFit="1" customWidth="1"/>
    <col min="258" max="258" width="8.88671875" style="6"/>
    <col min="259" max="259" width="12.6640625" style="6" bestFit="1" customWidth="1"/>
    <col min="260" max="512" width="8.88671875" style="6"/>
    <col min="513" max="513" width="12.6640625" style="6" bestFit="1" customWidth="1"/>
    <col min="514" max="514" width="8.88671875" style="6"/>
    <col min="515" max="515" width="12.6640625" style="6" bestFit="1" customWidth="1"/>
    <col min="516" max="768" width="8.88671875" style="6"/>
    <col min="769" max="769" width="12.6640625" style="6" bestFit="1" customWidth="1"/>
    <col min="770" max="770" width="8.88671875" style="6"/>
    <col min="771" max="771" width="12.6640625" style="6" bestFit="1" customWidth="1"/>
    <col min="772" max="1024" width="8.88671875" style="6"/>
    <col min="1025" max="1025" width="12.6640625" style="6" bestFit="1" customWidth="1"/>
    <col min="1026" max="1026" width="8.88671875" style="6"/>
    <col min="1027" max="1027" width="12.6640625" style="6" bestFit="1" customWidth="1"/>
    <col min="1028" max="1280" width="8.88671875" style="6"/>
    <col min="1281" max="1281" width="12.6640625" style="6" bestFit="1" customWidth="1"/>
    <col min="1282" max="1282" width="8.88671875" style="6"/>
    <col min="1283" max="1283" width="12.6640625" style="6" bestFit="1" customWidth="1"/>
    <col min="1284" max="1536" width="8.88671875" style="6"/>
    <col min="1537" max="1537" width="12.6640625" style="6" bestFit="1" customWidth="1"/>
    <col min="1538" max="1538" width="8.88671875" style="6"/>
    <col min="1539" max="1539" width="12.6640625" style="6" bestFit="1" customWidth="1"/>
    <col min="1540" max="1792" width="8.88671875" style="6"/>
    <col min="1793" max="1793" width="12.6640625" style="6" bestFit="1" customWidth="1"/>
    <col min="1794" max="1794" width="8.88671875" style="6"/>
    <col min="1795" max="1795" width="12.6640625" style="6" bestFit="1" customWidth="1"/>
    <col min="1796" max="2048" width="8.88671875" style="6"/>
    <col min="2049" max="2049" width="12.6640625" style="6" bestFit="1" customWidth="1"/>
    <col min="2050" max="2050" width="8.88671875" style="6"/>
    <col min="2051" max="2051" width="12.6640625" style="6" bestFit="1" customWidth="1"/>
    <col min="2052" max="2304" width="8.88671875" style="6"/>
    <col min="2305" max="2305" width="12.6640625" style="6" bestFit="1" customWidth="1"/>
    <col min="2306" max="2306" width="8.88671875" style="6"/>
    <col min="2307" max="2307" width="12.6640625" style="6" bestFit="1" customWidth="1"/>
    <col min="2308" max="2560" width="8.88671875" style="6"/>
    <col min="2561" max="2561" width="12.6640625" style="6" bestFit="1" customWidth="1"/>
    <col min="2562" max="2562" width="8.88671875" style="6"/>
    <col min="2563" max="2563" width="12.6640625" style="6" bestFit="1" customWidth="1"/>
    <col min="2564" max="2816" width="8.88671875" style="6"/>
    <col min="2817" max="2817" width="12.6640625" style="6" bestFit="1" customWidth="1"/>
    <col min="2818" max="2818" width="8.88671875" style="6"/>
    <col min="2819" max="2819" width="12.6640625" style="6" bestFit="1" customWidth="1"/>
    <col min="2820" max="3072" width="8.88671875" style="6"/>
    <col min="3073" max="3073" width="12.6640625" style="6" bestFit="1" customWidth="1"/>
    <col min="3074" max="3074" width="8.88671875" style="6"/>
    <col min="3075" max="3075" width="12.6640625" style="6" bestFit="1" customWidth="1"/>
    <col min="3076" max="3328" width="8.88671875" style="6"/>
    <col min="3329" max="3329" width="12.6640625" style="6" bestFit="1" customWidth="1"/>
    <col min="3330" max="3330" width="8.88671875" style="6"/>
    <col min="3331" max="3331" width="12.6640625" style="6" bestFit="1" customWidth="1"/>
    <col min="3332" max="3584" width="8.88671875" style="6"/>
    <col min="3585" max="3585" width="12.6640625" style="6" bestFit="1" customWidth="1"/>
    <col min="3586" max="3586" width="8.88671875" style="6"/>
    <col min="3587" max="3587" width="12.6640625" style="6" bestFit="1" customWidth="1"/>
    <col min="3588" max="3840" width="8.88671875" style="6"/>
    <col min="3841" max="3841" width="12.6640625" style="6" bestFit="1" customWidth="1"/>
    <col min="3842" max="3842" width="8.88671875" style="6"/>
    <col min="3843" max="3843" width="12.6640625" style="6" bestFit="1" customWidth="1"/>
    <col min="3844" max="4096" width="8.88671875" style="6"/>
    <col min="4097" max="4097" width="12.6640625" style="6" bestFit="1" customWidth="1"/>
    <col min="4098" max="4098" width="8.88671875" style="6"/>
    <col min="4099" max="4099" width="12.6640625" style="6" bestFit="1" customWidth="1"/>
    <col min="4100" max="4352" width="8.88671875" style="6"/>
    <col min="4353" max="4353" width="12.6640625" style="6" bestFit="1" customWidth="1"/>
    <col min="4354" max="4354" width="8.88671875" style="6"/>
    <col min="4355" max="4355" width="12.6640625" style="6" bestFit="1" customWidth="1"/>
    <col min="4356" max="4608" width="8.88671875" style="6"/>
    <col min="4609" max="4609" width="12.6640625" style="6" bestFit="1" customWidth="1"/>
    <col min="4610" max="4610" width="8.88671875" style="6"/>
    <col min="4611" max="4611" width="12.6640625" style="6" bestFit="1" customWidth="1"/>
    <col min="4612" max="4864" width="8.88671875" style="6"/>
    <col min="4865" max="4865" width="12.6640625" style="6" bestFit="1" customWidth="1"/>
    <col min="4866" max="4866" width="8.88671875" style="6"/>
    <col min="4867" max="4867" width="12.6640625" style="6" bestFit="1" customWidth="1"/>
    <col min="4868" max="5120" width="8.88671875" style="6"/>
    <col min="5121" max="5121" width="12.6640625" style="6" bestFit="1" customWidth="1"/>
    <col min="5122" max="5122" width="8.88671875" style="6"/>
    <col min="5123" max="5123" width="12.6640625" style="6" bestFit="1" customWidth="1"/>
    <col min="5124" max="5376" width="8.88671875" style="6"/>
    <col min="5377" max="5377" width="12.6640625" style="6" bestFit="1" customWidth="1"/>
    <col min="5378" max="5378" width="8.88671875" style="6"/>
    <col min="5379" max="5379" width="12.6640625" style="6" bestFit="1" customWidth="1"/>
    <col min="5380" max="5632" width="8.88671875" style="6"/>
    <col min="5633" max="5633" width="12.6640625" style="6" bestFit="1" customWidth="1"/>
    <col min="5634" max="5634" width="8.88671875" style="6"/>
    <col min="5635" max="5635" width="12.6640625" style="6" bestFit="1" customWidth="1"/>
    <col min="5636" max="5888" width="8.88671875" style="6"/>
    <col min="5889" max="5889" width="12.6640625" style="6" bestFit="1" customWidth="1"/>
    <col min="5890" max="5890" width="8.88671875" style="6"/>
    <col min="5891" max="5891" width="12.6640625" style="6" bestFit="1" customWidth="1"/>
    <col min="5892" max="6144" width="8.88671875" style="6"/>
    <col min="6145" max="6145" width="12.6640625" style="6" bestFit="1" customWidth="1"/>
    <col min="6146" max="6146" width="8.88671875" style="6"/>
    <col min="6147" max="6147" width="12.6640625" style="6" bestFit="1" customWidth="1"/>
    <col min="6148" max="6400" width="8.88671875" style="6"/>
    <col min="6401" max="6401" width="12.6640625" style="6" bestFit="1" customWidth="1"/>
    <col min="6402" max="6402" width="8.88671875" style="6"/>
    <col min="6403" max="6403" width="12.6640625" style="6" bestFit="1" customWidth="1"/>
    <col min="6404" max="6656" width="8.88671875" style="6"/>
    <col min="6657" max="6657" width="12.6640625" style="6" bestFit="1" customWidth="1"/>
    <col min="6658" max="6658" width="8.88671875" style="6"/>
    <col min="6659" max="6659" width="12.6640625" style="6" bestFit="1" customWidth="1"/>
    <col min="6660" max="6912" width="8.88671875" style="6"/>
    <col min="6913" max="6913" width="12.6640625" style="6" bestFit="1" customWidth="1"/>
    <col min="6914" max="6914" width="8.88671875" style="6"/>
    <col min="6915" max="6915" width="12.6640625" style="6" bestFit="1" customWidth="1"/>
    <col min="6916" max="7168" width="8.88671875" style="6"/>
    <col min="7169" max="7169" width="12.6640625" style="6" bestFit="1" customWidth="1"/>
    <col min="7170" max="7170" width="8.88671875" style="6"/>
    <col min="7171" max="7171" width="12.6640625" style="6" bestFit="1" customWidth="1"/>
    <col min="7172" max="7424" width="8.88671875" style="6"/>
    <col min="7425" max="7425" width="12.6640625" style="6" bestFit="1" customWidth="1"/>
    <col min="7426" max="7426" width="8.88671875" style="6"/>
    <col min="7427" max="7427" width="12.6640625" style="6" bestFit="1" customWidth="1"/>
    <col min="7428" max="7680" width="8.88671875" style="6"/>
    <col min="7681" max="7681" width="12.6640625" style="6" bestFit="1" customWidth="1"/>
    <col min="7682" max="7682" width="8.88671875" style="6"/>
    <col min="7683" max="7683" width="12.6640625" style="6" bestFit="1" customWidth="1"/>
    <col min="7684" max="7936" width="8.88671875" style="6"/>
    <col min="7937" max="7937" width="12.6640625" style="6" bestFit="1" customWidth="1"/>
    <col min="7938" max="7938" width="8.88671875" style="6"/>
    <col min="7939" max="7939" width="12.6640625" style="6" bestFit="1" customWidth="1"/>
    <col min="7940" max="8192" width="8.88671875" style="6"/>
    <col min="8193" max="8193" width="12.6640625" style="6" bestFit="1" customWidth="1"/>
    <col min="8194" max="8194" width="8.88671875" style="6"/>
    <col min="8195" max="8195" width="12.6640625" style="6" bestFit="1" customWidth="1"/>
    <col min="8196" max="8448" width="8.88671875" style="6"/>
    <col min="8449" max="8449" width="12.6640625" style="6" bestFit="1" customWidth="1"/>
    <col min="8450" max="8450" width="8.88671875" style="6"/>
    <col min="8451" max="8451" width="12.6640625" style="6" bestFit="1" customWidth="1"/>
    <col min="8452" max="8704" width="8.88671875" style="6"/>
    <col min="8705" max="8705" width="12.6640625" style="6" bestFit="1" customWidth="1"/>
    <col min="8706" max="8706" width="8.88671875" style="6"/>
    <col min="8707" max="8707" width="12.6640625" style="6" bestFit="1" customWidth="1"/>
    <col min="8708" max="8960" width="8.88671875" style="6"/>
    <col min="8961" max="8961" width="12.6640625" style="6" bestFit="1" customWidth="1"/>
    <col min="8962" max="8962" width="8.88671875" style="6"/>
    <col min="8963" max="8963" width="12.6640625" style="6" bestFit="1" customWidth="1"/>
    <col min="8964" max="9216" width="8.88671875" style="6"/>
    <col min="9217" max="9217" width="12.6640625" style="6" bestFit="1" customWidth="1"/>
    <col min="9218" max="9218" width="8.88671875" style="6"/>
    <col min="9219" max="9219" width="12.6640625" style="6" bestFit="1" customWidth="1"/>
    <col min="9220" max="9472" width="8.88671875" style="6"/>
    <col min="9473" max="9473" width="12.6640625" style="6" bestFit="1" customWidth="1"/>
    <col min="9474" max="9474" width="8.88671875" style="6"/>
    <col min="9475" max="9475" width="12.6640625" style="6" bestFit="1" customWidth="1"/>
    <col min="9476" max="9728" width="8.88671875" style="6"/>
    <col min="9729" max="9729" width="12.6640625" style="6" bestFit="1" customWidth="1"/>
    <col min="9730" max="9730" width="8.88671875" style="6"/>
    <col min="9731" max="9731" width="12.6640625" style="6" bestFit="1" customWidth="1"/>
    <col min="9732" max="9984" width="8.88671875" style="6"/>
    <col min="9985" max="9985" width="12.6640625" style="6" bestFit="1" customWidth="1"/>
    <col min="9986" max="9986" width="8.88671875" style="6"/>
    <col min="9987" max="9987" width="12.6640625" style="6" bestFit="1" customWidth="1"/>
    <col min="9988" max="10240" width="8.88671875" style="6"/>
    <col min="10241" max="10241" width="12.6640625" style="6" bestFit="1" customWidth="1"/>
    <col min="10242" max="10242" width="8.88671875" style="6"/>
    <col min="10243" max="10243" width="12.6640625" style="6" bestFit="1" customWidth="1"/>
    <col min="10244" max="10496" width="8.88671875" style="6"/>
    <col min="10497" max="10497" width="12.6640625" style="6" bestFit="1" customWidth="1"/>
    <col min="10498" max="10498" width="8.88671875" style="6"/>
    <col min="10499" max="10499" width="12.6640625" style="6" bestFit="1" customWidth="1"/>
    <col min="10500" max="10752" width="8.88671875" style="6"/>
    <col min="10753" max="10753" width="12.6640625" style="6" bestFit="1" customWidth="1"/>
    <col min="10754" max="10754" width="8.88671875" style="6"/>
    <col min="10755" max="10755" width="12.6640625" style="6" bestFit="1" customWidth="1"/>
    <col min="10756" max="11008" width="8.88671875" style="6"/>
    <col min="11009" max="11009" width="12.6640625" style="6" bestFit="1" customWidth="1"/>
    <col min="11010" max="11010" width="8.88671875" style="6"/>
    <col min="11011" max="11011" width="12.6640625" style="6" bestFit="1" customWidth="1"/>
    <col min="11012" max="11264" width="8.88671875" style="6"/>
    <col min="11265" max="11265" width="12.6640625" style="6" bestFit="1" customWidth="1"/>
    <col min="11266" max="11266" width="8.88671875" style="6"/>
    <col min="11267" max="11267" width="12.6640625" style="6" bestFit="1" customWidth="1"/>
    <col min="11268" max="11520" width="8.88671875" style="6"/>
    <col min="11521" max="11521" width="12.6640625" style="6" bestFit="1" customWidth="1"/>
    <col min="11522" max="11522" width="8.88671875" style="6"/>
    <col min="11523" max="11523" width="12.6640625" style="6" bestFit="1" customWidth="1"/>
    <col min="11524" max="11776" width="8.88671875" style="6"/>
    <col min="11777" max="11777" width="12.6640625" style="6" bestFit="1" customWidth="1"/>
    <col min="11778" max="11778" width="8.88671875" style="6"/>
    <col min="11779" max="11779" width="12.6640625" style="6" bestFit="1" customWidth="1"/>
    <col min="11780" max="12032" width="8.88671875" style="6"/>
    <col min="12033" max="12033" width="12.6640625" style="6" bestFit="1" customWidth="1"/>
    <col min="12034" max="12034" width="8.88671875" style="6"/>
    <col min="12035" max="12035" width="12.6640625" style="6" bestFit="1" customWidth="1"/>
    <col min="12036" max="12288" width="8.88671875" style="6"/>
    <col min="12289" max="12289" width="12.6640625" style="6" bestFit="1" customWidth="1"/>
    <col min="12290" max="12290" width="8.88671875" style="6"/>
    <col min="12291" max="12291" width="12.6640625" style="6" bestFit="1" customWidth="1"/>
    <col min="12292" max="12544" width="8.88671875" style="6"/>
    <col min="12545" max="12545" width="12.6640625" style="6" bestFit="1" customWidth="1"/>
    <col min="12546" max="12546" width="8.88671875" style="6"/>
    <col min="12547" max="12547" width="12.6640625" style="6" bestFit="1" customWidth="1"/>
    <col min="12548" max="12800" width="8.88671875" style="6"/>
    <col min="12801" max="12801" width="12.6640625" style="6" bestFit="1" customWidth="1"/>
    <col min="12802" max="12802" width="8.88671875" style="6"/>
    <col min="12803" max="12803" width="12.6640625" style="6" bestFit="1" customWidth="1"/>
    <col min="12804" max="13056" width="8.88671875" style="6"/>
    <col min="13057" max="13057" width="12.6640625" style="6" bestFit="1" customWidth="1"/>
    <col min="13058" max="13058" width="8.88671875" style="6"/>
    <col min="13059" max="13059" width="12.6640625" style="6" bestFit="1" customWidth="1"/>
    <col min="13060" max="13312" width="8.88671875" style="6"/>
    <col min="13313" max="13313" width="12.6640625" style="6" bestFit="1" customWidth="1"/>
    <col min="13314" max="13314" width="8.88671875" style="6"/>
    <col min="13315" max="13315" width="12.6640625" style="6" bestFit="1" customWidth="1"/>
    <col min="13316" max="13568" width="8.88671875" style="6"/>
    <col min="13569" max="13569" width="12.6640625" style="6" bestFit="1" customWidth="1"/>
    <col min="13570" max="13570" width="8.88671875" style="6"/>
    <col min="13571" max="13571" width="12.6640625" style="6" bestFit="1" customWidth="1"/>
    <col min="13572" max="13824" width="8.88671875" style="6"/>
    <col min="13825" max="13825" width="12.6640625" style="6" bestFit="1" customWidth="1"/>
    <col min="13826" max="13826" width="8.88671875" style="6"/>
    <col min="13827" max="13827" width="12.6640625" style="6" bestFit="1" customWidth="1"/>
    <col min="13828" max="14080" width="8.88671875" style="6"/>
    <col min="14081" max="14081" width="12.6640625" style="6" bestFit="1" customWidth="1"/>
    <col min="14082" max="14082" width="8.88671875" style="6"/>
    <col min="14083" max="14083" width="12.6640625" style="6" bestFit="1" customWidth="1"/>
    <col min="14084" max="14336" width="8.88671875" style="6"/>
    <col min="14337" max="14337" width="12.6640625" style="6" bestFit="1" customWidth="1"/>
    <col min="14338" max="14338" width="8.88671875" style="6"/>
    <col min="14339" max="14339" width="12.6640625" style="6" bestFit="1" customWidth="1"/>
    <col min="14340" max="14592" width="8.88671875" style="6"/>
    <col min="14593" max="14593" width="12.6640625" style="6" bestFit="1" customWidth="1"/>
    <col min="14594" max="14594" width="8.88671875" style="6"/>
    <col min="14595" max="14595" width="12.6640625" style="6" bestFit="1" customWidth="1"/>
    <col min="14596" max="14848" width="8.88671875" style="6"/>
    <col min="14849" max="14849" width="12.6640625" style="6" bestFit="1" customWidth="1"/>
    <col min="14850" max="14850" width="8.88671875" style="6"/>
    <col min="14851" max="14851" width="12.6640625" style="6" bestFit="1" customWidth="1"/>
    <col min="14852" max="15104" width="8.88671875" style="6"/>
    <col min="15105" max="15105" width="12.6640625" style="6" bestFit="1" customWidth="1"/>
    <col min="15106" max="15106" width="8.88671875" style="6"/>
    <col min="15107" max="15107" width="12.6640625" style="6" bestFit="1" customWidth="1"/>
    <col min="15108" max="15360" width="8.88671875" style="6"/>
    <col min="15361" max="15361" width="12.6640625" style="6" bestFit="1" customWidth="1"/>
    <col min="15362" max="15362" width="8.88671875" style="6"/>
    <col min="15363" max="15363" width="12.6640625" style="6" bestFit="1" customWidth="1"/>
    <col min="15364" max="15616" width="8.88671875" style="6"/>
    <col min="15617" max="15617" width="12.6640625" style="6" bestFit="1" customWidth="1"/>
    <col min="15618" max="15618" width="8.88671875" style="6"/>
    <col min="15619" max="15619" width="12.6640625" style="6" bestFit="1" customWidth="1"/>
    <col min="15620" max="15872" width="8.88671875" style="6"/>
    <col min="15873" max="15873" width="12.6640625" style="6" bestFit="1" customWidth="1"/>
    <col min="15874" max="15874" width="8.88671875" style="6"/>
    <col min="15875" max="15875" width="12.6640625" style="6" bestFit="1" customWidth="1"/>
    <col min="15876" max="16128" width="8.88671875" style="6"/>
    <col min="16129" max="16129" width="12.6640625" style="6" bestFit="1" customWidth="1"/>
    <col min="16130" max="16130" width="8.88671875" style="6"/>
    <col min="16131" max="16131" width="12.6640625" style="6" bestFit="1" customWidth="1"/>
    <col min="16132" max="16384" width="8.88671875" style="6"/>
  </cols>
  <sheetData>
    <row r="1" spans="1:4" s="27" customFormat="1" ht="15" customHeigh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ht="15" customHeight="1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ht="15" customHeight="1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ht="15" customHeight="1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ht="15" customHeight="1" x14ac:dyDescent="0.25">
      <c r="A5" s="8" t="s">
        <v>27</v>
      </c>
      <c r="B5" s="9">
        <v>0</v>
      </c>
      <c r="C5" s="8" t="s">
        <v>28</v>
      </c>
      <c r="D5" s="9">
        <v>0</v>
      </c>
    </row>
    <row r="6" spans="1:4" ht="15" customHeight="1" x14ac:dyDescent="0.25">
      <c r="A6" s="7" t="s">
        <v>29</v>
      </c>
      <c r="B6" s="9">
        <v>0</v>
      </c>
      <c r="C6" s="7" t="s">
        <v>30</v>
      </c>
      <c r="D6" s="9">
        <v>0</v>
      </c>
    </row>
    <row r="7" spans="1:4" ht="15" customHeight="1" x14ac:dyDescent="0.25">
      <c r="A7" s="8" t="s">
        <v>31</v>
      </c>
      <c r="B7" s="10">
        <f>12437</f>
        <v>12437</v>
      </c>
      <c r="C7" s="8" t="s">
        <v>32</v>
      </c>
      <c r="D7" s="9">
        <v>0</v>
      </c>
    </row>
    <row r="8" spans="1:4" ht="15" customHeight="1" x14ac:dyDescent="0.25">
      <c r="A8" s="8" t="s">
        <v>33</v>
      </c>
      <c r="B8" s="10">
        <v>0</v>
      </c>
      <c r="C8" s="8" t="s">
        <v>34</v>
      </c>
      <c r="D8" s="9">
        <v>0</v>
      </c>
    </row>
    <row r="9" spans="1:4" ht="15" customHeight="1" x14ac:dyDescent="0.25">
      <c r="A9" s="8" t="s">
        <v>35</v>
      </c>
      <c r="B9" s="10">
        <v>0</v>
      </c>
      <c r="C9" s="8" t="s">
        <v>36</v>
      </c>
      <c r="D9" s="10">
        <v>0</v>
      </c>
    </row>
    <row r="10" spans="1:4" ht="15" customHeight="1" x14ac:dyDescent="0.25">
      <c r="A10" s="8" t="s">
        <v>108</v>
      </c>
      <c r="B10" s="10">
        <v>3000</v>
      </c>
      <c r="C10" s="7" t="s">
        <v>38</v>
      </c>
      <c r="D10" s="10">
        <f>SUM(D7:D9)</f>
        <v>0</v>
      </c>
    </row>
    <row r="11" spans="1:4" ht="15" customHeight="1" x14ac:dyDescent="0.25">
      <c r="A11" s="8" t="s">
        <v>109</v>
      </c>
      <c r="B11" s="10">
        <v>1700</v>
      </c>
      <c r="C11" s="7" t="s">
        <v>40</v>
      </c>
      <c r="D11" s="10">
        <f>D6+D10</f>
        <v>0</v>
      </c>
    </row>
    <row r="12" spans="1:4" ht="15" customHeight="1" x14ac:dyDescent="0.25">
      <c r="A12" s="7" t="s">
        <v>41</v>
      </c>
      <c r="B12" s="10">
        <f>SUM(B7:B11)</f>
        <v>17137</v>
      </c>
      <c r="C12" s="9"/>
      <c r="D12" s="9"/>
    </row>
    <row r="13" spans="1:4" ht="15" customHeight="1" x14ac:dyDescent="0.25">
      <c r="A13" s="7" t="s">
        <v>42</v>
      </c>
      <c r="B13" s="24">
        <f>B12+B6</f>
        <v>17137</v>
      </c>
      <c r="C13" s="9"/>
      <c r="D13" s="9"/>
    </row>
    <row r="14" spans="1:4" ht="15" customHeight="1" x14ac:dyDescent="0.25">
      <c r="A14" s="7" t="s">
        <v>43</v>
      </c>
      <c r="B14" s="24">
        <f>B13-D11</f>
        <v>17137</v>
      </c>
      <c r="C14" s="10"/>
      <c r="D14" s="9"/>
    </row>
    <row r="15" spans="1:4" ht="15" customHeight="1" x14ac:dyDescent="0.25">
      <c r="A15" s="7" t="s">
        <v>44</v>
      </c>
      <c r="B15" s="24">
        <v>-8436</v>
      </c>
      <c r="C15" s="9"/>
      <c r="D15" s="9"/>
    </row>
    <row r="16" spans="1:4" ht="15" customHeight="1" x14ac:dyDescent="0.25">
      <c r="A16" s="7" t="s">
        <v>45</v>
      </c>
      <c r="B16" s="14">
        <f>D11/B13</f>
        <v>0</v>
      </c>
      <c r="C16" s="9"/>
      <c r="D16" s="9"/>
    </row>
    <row r="17" spans="1:4" ht="15" customHeight="1" x14ac:dyDescent="0.25">
      <c r="A17" s="5" t="s">
        <v>46</v>
      </c>
      <c r="B17" s="14">
        <f>B15/B14</f>
        <v>-0.49226819163214097</v>
      </c>
      <c r="C17" s="18"/>
      <c r="D17" s="18"/>
    </row>
    <row r="19" spans="1:4" ht="15" customHeight="1" x14ac:dyDescent="0.25">
      <c r="A19" s="7" t="s">
        <v>111</v>
      </c>
    </row>
    <row r="20" spans="1:4" ht="15" customHeight="1" x14ac:dyDescent="0.25">
      <c r="A20" s="7" t="s">
        <v>112</v>
      </c>
    </row>
    <row r="21" spans="1:4" ht="15" customHeight="1" x14ac:dyDescent="0.25">
      <c r="A21" s="7" t="s">
        <v>113</v>
      </c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68F5B-D3F1-44EF-97ED-3541C9E81B6C}">
  <dimension ref="A1:D17"/>
  <sheetViews>
    <sheetView workbookViewId="0">
      <selection activeCell="C17" sqref="C17"/>
    </sheetView>
  </sheetViews>
  <sheetFormatPr defaultRowHeight="15" customHeight="1" x14ac:dyDescent="0.25"/>
  <cols>
    <col min="1" max="1" width="12.6640625" style="6" bestFit="1" customWidth="1"/>
    <col min="2" max="2" width="8.88671875" style="6"/>
    <col min="3" max="3" width="12.6640625" style="6" bestFit="1" customWidth="1"/>
    <col min="4" max="256" width="8.88671875" style="6"/>
    <col min="257" max="257" width="12.6640625" style="6" bestFit="1" customWidth="1"/>
    <col min="258" max="258" width="8.88671875" style="6"/>
    <col min="259" max="259" width="12.6640625" style="6" bestFit="1" customWidth="1"/>
    <col min="260" max="512" width="8.88671875" style="6"/>
    <col min="513" max="513" width="12.6640625" style="6" bestFit="1" customWidth="1"/>
    <col min="514" max="514" width="8.88671875" style="6"/>
    <col min="515" max="515" width="12.6640625" style="6" bestFit="1" customWidth="1"/>
    <col min="516" max="768" width="8.88671875" style="6"/>
    <col min="769" max="769" width="12.6640625" style="6" bestFit="1" customWidth="1"/>
    <col min="770" max="770" width="8.88671875" style="6"/>
    <col min="771" max="771" width="12.6640625" style="6" bestFit="1" customWidth="1"/>
    <col min="772" max="1024" width="8.88671875" style="6"/>
    <col min="1025" max="1025" width="12.6640625" style="6" bestFit="1" customWidth="1"/>
    <col min="1026" max="1026" width="8.88671875" style="6"/>
    <col min="1027" max="1027" width="12.6640625" style="6" bestFit="1" customWidth="1"/>
    <col min="1028" max="1280" width="8.88671875" style="6"/>
    <col min="1281" max="1281" width="12.6640625" style="6" bestFit="1" customWidth="1"/>
    <col min="1282" max="1282" width="8.88671875" style="6"/>
    <col min="1283" max="1283" width="12.6640625" style="6" bestFit="1" customWidth="1"/>
    <col min="1284" max="1536" width="8.88671875" style="6"/>
    <col min="1537" max="1537" width="12.6640625" style="6" bestFit="1" customWidth="1"/>
    <col min="1538" max="1538" width="8.88671875" style="6"/>
    <col min="1539" max="1539" width="12.6640625" style="6" bestFit="1" customWidth="1"/>
    <col min="1540" max="1792" width="8.88671875" style="6"/>
    <col min="1793" max="1793" width="12.6640625" style="6" bestFit="1" customWidth="1"/>
    <col min="1794" max="1794" width="8.88671875" style="6"/>
    <col min="1795" max="1795" width="12.6640625" style="6" bestFit="1" customWidth="1"/>
    <col min="1796" max="2048" width="8.88671875" style="6"/>
    <col min="2049" max="2049" width="12.6640625" style="6" bestFit="1" customWidth="1"/>
    <col min="2050" max="2050" width="8.88671875" style="6"/>
    <col min="2051" max="2051" width="12.6640625" style="6" bestFit="1" customWidth="1"/>
    <col min="2052" max="2304" width="8.88671875" style="6"/>
    <col min="2305" max="2305" width="12.6640625" style="6" bestFit="1" customWidth="1"/>
    <col min="2306" max="2306" width="8.88671875" style="6"/>
    <col min="2307" max="2307" width="12.6640625" style="6" bestFit="1" customWidth="1"/>
    <col min="2308" max="2560" width="8.88671875" style="6"/>
    <col min="2561" max="2561" width="12.6640625" style="6" bestFit="1" customWidth="1"/>
    <col min="2562" max="2562" width="8.88671875" style="6"/>
    <col min="2563" max="2563" width="12.6640625" style="6" bestFit="1" customWidth="1"/>
    <col min="2564" max="2816" width="8.88671875" style="6"/>
    <col min="2817" max="2817" width="12.6640625" style="6" bestFit="1" customWidth="1"/>
    <col min="2818" max="2818" width="8.88671875" style="6"/>
    <col min="2819" max="2819" width="12.6640625" style="6" bestFit="1" customWidth="1"/>
    <col min="2820" max="3072" width="8.88671875" style="6"/>
    <col min="3073" max="3073" width="12.6640625" style="6" bestFit="1" customWidth="1"/>
    <col min="3074" max="3074" width="8.88671875" style="6"/>
    <col min="3075" max="3075" width="12.6640625" style="6" bestFit="1" customWidth="1"/>
    <col min="3076" max="3328" width="8.88671875" style="6"/>
    <col min="3329" max="3329" width="12.6640625" style="6" bestFit="1" customWidth="1"/>
    <col min="3330" max="3330" width="8.88671875" style="6"/>
    <col min="3331" max="3331" width="12.6640625" style="6" bestFit="1" customWidth="1"/>
    <col min="3332" max="3584" width="8.88671875" style="6"/>
    <col min="3585" max="3585" width="12.6640625" style="6" bestFit="1" customWidth="1"/>
    <col min="3586" max="3586" width="8.88671875" style="6"/>
    <col min="3587" max="3587" width="12.6640625" style="6" bestFit="1" customWidth="1"/>
    <col min="3588" max="3840" width="8.88671875" style="6"/>
    <col min="3841" max="3841" width="12.6640625" style="6" bestFit="1" customWidth="1"/>
    <col min="3842" max="3842" width="8.88671875" style="6"/>
    <col min="3843" max="3843" width="12.6640625" style="6" bestFit="1" customWidth="1"/>
    <col min="3844" max="4096" width="8.88671875" style="6"/>
    <col min="4097" max="4097" width="12.6640625" style="6" bestFit="1" customWidth="1"/>
    <col min="4098" max="4098" width="8.88671875" style="6"/>
    <col min="4099" max="4099" width="12.6640625" style="6" bestFit="1" customWidth="1"/>
    <col min="4100" max="4352" width="8.88671875" style="6"/>
    <col min="4353" max="4353" width="12.6640625" style="6" bestFit="1" customWidth="1"/>
    <col min="4354" max="4354" width="8.88671875" style="6"/>
    <col min="4355" max="4355" width="12.6640625" style="6" bestFit="1" customWidth="1"/>
    <col min="4356" max="4608" width="8.88671875" style="6"/>
    <col min="4609" max="4609" width="12.6640625" style="6" bestFit="1" customWidth="1"/>
    <col min="4610" max="4610" width="8.88671875" style="6"/>
    <col min="4611" max="4611" width="12.6640625" style="6" bestFit="1" customWidth="1"/>
    <col min="4612" max="4864" width="8.88671875" style="6"/>
    <col min="4865" max="4865" width="12.6640625" style="6" bestFit="1" customWidth="1"/>
    <col min="4866" max="4866" width="8.88671875" style="6"/>
    <col min="4867" max="4867" width="12.6640625" style="6" bestFit="1" customWidth="1"/>
    <col min="4868" max="5120" width="8.88671875" style="6"/>
    <col min="5121" max="5121" width="12.6640625" style="6" bestFit="1" customWidth="1"/>
    <col min="5122" max="5122" width="8.88671875" style="6"/>
    <col min="5123" max="5123" width="12.6640625" style="6" bestFit="1" customWidth="1"/>
    <col min="5124" max="5376" width="8.88671875" style="6"/>
    <col min="5377" max="5377" width="12.6640625" style="6" bestFit="1" customWidth="1"/>
    <col min="5378" max="5378" width="8.88671875" style="6"/>
    <col min="5379" max="5379" width="12.6640625" style="6" bestFit="1" customWidth="1"/>
    <col min="5380" max="5632" width="8.88671875" style="6"/>
    <col min="5633" max="5633" width="12.6640625" style="6" bestFit="1" customWidth="1"/>
    <col min="5634" max="5634" width="8.88671875" style="6"/>
    <col min="5635" max="5635" width="12.6640625" style="6" bestFit="1" customWidth="1"/>
    <col min="5636" max="5888" width="8.88671875" style="6"/>
    <col min="5889" max="5889" width="12.6640625" style="6" bestFit="1" customWidth="1"/>
    <col min="5890" max="5890" width="8.88671875" style="6"/>
    <col min="5891" max="5891" width="12.6640625" style="6" bestFit="1" customWidth="1"/>
    <col min="5892" max="6144" width="8.88671875" style="6"/>
    <col min="6145" max="6145" width="12.6640625" style="6" bestFit="1" customWidth="1"/>
    <col min="6146" max="6146" width="8.88671875" style="6"/>
    <col min="6147" max="6147" width="12.6640625" style="6" bestFit="1" customWidth="1"/>
    <col min="6148" max="6400" width="8.88671875" style="6"/>
    <col min="6401" max="6401" width="12.6640625" style="6" bestFit="1" customWidth="1"/>
    <col min="6402" max="6402" width="8.88671875" style="6"/>
    <col min="6403" max="6403" width="12.6640625" style="6" bestFit="1" customWidth="1"/>
    <col min="6404" max="6656" width="8.88671875" style="6"/>
    <col min="6657" max="6657" width="12.6640625" style="6" bestFit="1" customWidth="1"/>
    <col min="6658" max="6658" width="8.88671875" style="6"/>
    <col min="6659" max="6659" width="12.6640625" style="6" bestFit="1" customWidth="1"/>
    <col min="6660" max="6912" width="8.88671875" style="6"/>
    <col min="6913" max="6913" width="12.6640625" style="6" bestFit="1" customWidth="1"/>
    <col min="6914" max="6914" width="8.88671875" style="6"/>
    <col min="6915" max="6915" width="12.6640625" style="6" bestFit="1" customWidth="1"/>
    <col min="6916" max="7168" width="8.88671875" style="6"/>
    <col min="7169" max="7169" width="12.6640625" style="6" bestFit="1" customWidth="1"/>
    <col min="7170" max="7170" width="8.88671875" style="6"/>
    <col min="7171" max="7171" width="12.6640625" style="6" bestFit="1" customWidth="1"/>
    <col min="7172" max="7424" width="8.88671875" style="6"/>
    <col min="7425" max="7425" width="12.6640625" style="6" bestFit="1" customWidth="1"/>
    <col min="7426" max="7426" width="8.88671875" style="6"/>
    <col min="7427" max="7427" width="12.6640625" style="6" bestFit="1" customWidth="1"/>
    <col min="7428" max="7680" width="8.88671875" style="6"/>
    <col min="7681" max="7681" width="12.6640625" style="6" bestFit="1" customWidth="1"/>
    <col min="7682" max="7682" width="8.88671875" style="6"/>
    <col min="7683" max="7683" width="12.6640625" style="6" bestFit="1" customWidth="1"/>
    <col min="7684" max="7936" width="8.88671875" style="6"/>
    <col min="7937" max="7937" width="12.6640625" style="6" bestFit="1" customWidth="1"/>
    <col min="7938" max="7938" width="8.88671875" style="6"/>
    <col min="7939" max="7939" width="12.6640625" style="6" bestFit="1" customWidth="1"/>
    <col min="7940" max="8192" width="8.88671875" style="6"/>
    <col min="8193" max="8193" width="12.6640625" style="6" bestFit="1" customWidth="1"/>
    <col min="8194" max="8194" width="8.88671875" style="6"/>
    <col min="8195" max="8195" width="12.6640625" style="6" bestFit="1" customWidth="1"/>
    <col min="8196" max="8448" width="8.88671875" style="6"/>
    <col min="8449" max="8449" width="12.6640625" style="6" bestFit="1" customWidth="1"/>
    <col min="8450" max="8450" width="8.88671875" style="6"/>
    <col min="8451" max="8451" width="12.6640625" style="6" bestFit="1" customWidth="1"/>
    <col min="8452" max="8704" width="8.88671875" style="6"/>
    <col min="8705" max="8705" width="12.6640625" style="6" bestFit="1" customWidth="1"/>
    <col min="8706" max="8706" width="8.88671875" style="6"/>
    <col min="8707" max="8707" width="12.6640625" style="6" bestFit="1" customWidth="1"/>
    <col min="8708" max="8960" width="8.88671875" style="6"/>
    <col min="8961" max="8961" width="12.6640625" style="6" bestFit="1" customWidth="1"/>
    <col min="8962" max="8962" width="8.88671875" style="6"/>
    <col min="8963" max="8963" width="12.6640625" style="6" bestFit="1" customWidth="1"/>
    <col min="8964" max="9216" width="8.88671875" style="6"/>
    <col min="9217" max="9217" width="12.6640625" style="6" bestFit="1" customWidth="1"/>
    <col min="9218" max="9218" width="8.88671875" style="6"/>
    <col min="9219" max="9219" width="12.6640625" style="6" bestFit="1" customWidth="1"/>
    <col min="9220" max="9472" width="8.88671875" style="6"/>
    <col min="9473" max="9473" width="12.6640625" style="6" bestFit="1" customWidth="1"/>
    <col min="9474" max="9474" width="8.88671875" style="6"/>
    <col min="9475" max="9475" width="12.6640625" style="6" bestFit="1" customWidth="1"/>
    <col min="9476" max="9728" width="8.88671875" style="6"/>
    <col min="9729" max="9729" width="12.6640625" style="6" bestFit="1" customWidth="1"/>
    <col min="9730" max="9730" width="8.88671875" style="6"/>
    <col min="9731" max="9731" width="12.6640625" style="6" bestFit="1" customWidth="1"/>
    <col min="9732" max="9984" width="8.88671875" style="6"/>
    <col min="9985" max="9985" width="12.6640625" style="6" bestFit="1" customWidth="1"/>
    <col min="9986" max="9986" width="8.88671875" style="6"/>
    <col min="9987" max="9987" width="12.6640625" style="6" bestFit="1" customWidth="1"/>
    <col min="9988" max="10240" width="8.88671875" style="6"/>
    <col min="10241" max="10241" width="12.6640625" style="6" bestFit="1" customWidth="1"/>
    <col min="10242" max="10242" width="8.88671875" style="6"/>
    <col min="10243" max="10243" width="12.6640625" style="6" bestFit="1" customWidth="1"/>
    <col min="10244" max="10496" width="8.88671875" style="6"/>
    <col min="10497" max="10497" width="12.6640625" style="6" bestFit="1" customWidth="1"/>
    <col min="10498" max="10498" width="8.88671875" style="6"/>
    <col min="10499" max="10499" width="12.6640625" style="6" bestFit="1" customWidth="1"/>
    <col min="10500" max="10752" width="8.88671875" style="6"/>
    <col min="10753" max="10753" width="12.6640625" style="6" bestFit="1" customWidth="1"/>
    <col min="10754" max="10754" width="8.88671875" style="6"/>
    <col min="10755" max="10755" width="12.6640625" style="6" bestFit="1" customWidth="1"/>
    <col min="10756" max="11008" width="8.88671875" style="6"/>
    <col min="11009" max="11009" width="12.6640625" style="6" bestFit="1" customWidth="1"/>
    <col min="11010" max="11010" width="8.88671875" style="6"/>
    <col min="11011" max="11011" width="12.6640625" style="6" bestFit="1" customWidth="1"/>
    <col min="11012" max="11264" width="8.88671875" style="6"/>
    <col min="11265" max="11265" width="12.6640625" style="6" bestFit="1" customWidth="1"/>
    <col min="11266" max="11266" width="8.88671875" style="6"/>
    <col min="11267" max="11267" width="12.6640625" style="6" bestFit="1" customWidth="1"/>
    <col min="11268" max="11520" width="8.88671875" style="6"/>
    <col min="11521" max="11521" width="12.6640625" style="6" bestFit="1" customWidth="1"/>
    <col min="11522" max="11522" width="8.88671875" style="6"/>
    <col min="11523" max="11523" width="12.6640625" style="6" bestFit="1" customWidth="1"/>
    <col min="11524" max="11776" width="8.88671875" style="6"/>
    <col min="11777" max="11777" width="12.6640625" style="6" bestFit="1" customWidth="1"/>
    <col min="11778" max="11778" width="8.88671875" style="6"/>
    <col min="11779" max="11779" width="12.6640625" style="6" bestFit="1" customWidth="1"/>
    <col min="11780" max="12032" width="8.88671875" style="6"/>
    <col min="12033" max="12033" width="12.6640625" style="6" bestFit="1" customWidth="1"/>
    <col min="12034" max="12034" width="8.88671875" style="6"/>
    <col min="12035" max="12035" width="12.6640625" style="6" bestFit="1" customWidth="1"/>
    <col min="12036" max="12288" width="8.88671875" style="6"/>
    <col min="12289" max="12289" width="12.6640625" style="6" bestFit="1" customWidth="1"/>
    <col min="12290" max="12290" width="8.88671875" style="6"/>
    <col min="12291" max="12291" width="12.6640625" style="6" bestFit="1" customWidth="1"/>
    <col min="12292" max="12544" width="8.88671875" style="6"/>
    <col min="12545" max="12545" width="12.6640625" style="6" bestFit="1" customWidth="1"/>
    <col min="12546" max="12546" width="8.88671875" style="6"/>
    <col min="12547" max="12547" width="12.6640625" style="6" bestFit="1" customWidth="1"/>
    <col min="12548" max="12800" width="8.88671875" style="6"/>
    <col min="12801" max="12801" width="12.6640625" style="6" bestFit="1" customWidth="1"/>
    <col min="12802" max="12802" width="8.88671875" style="6"/>
    <col min="12803" max="12803" width="12.6640625" style="6" bestFit="1" customWidth="1"/>
    <col min="12804" max="13056" width="8.88671875" style="6"/>
    <col min="13057" max="13057" width="12.6640625" style="6" bestFit="1" customWidth="1"/>
    <col min="13058" max="13058" width="8.88671875" style="6"/>
    <col min="13059" max="13059" width="12.6640625" style="6" bestFit="1" customWidth="1"/>
    <col min="13060" max="13312" width="8.88671875" style="6"/>
    <col min="13313" max="13313" width="12.6640625" style="6" bestFit="1" customWidth="1"/>
    <col min="13314" max="13314" width="8.88671875" style="6"/>
    <col min="13315" max="13315" width="12.6640625" style="6" bestFit="1" customWidth="1"/>
    <col min="13316" max="13568" width="8.88671875" style="6"/>
    <col min="13569" max="13569" width="12.6640625" style="6" bestFit="1" customWidth="1"/>
    <col min="13570" max="13570" width="8.88671875" style="6"/>
    <col min="13571" max="13571" width="12.6640625" style="6" bestFit="1" customWidth="1"/>
    <col min="13572" max="13824" width="8.88671875" style="6"/>
    <col min="13825" max="13825" width="12.6640625" style="6" bestFit="1" customWidth="1"/>
    <col min="13826" max="13826" width="8.88671875" style="6"/>
    <col min="13827" max="13827" width="12.6640625" style="6" bestFit="1" customWidth="1"/>
    <col min="13828" max="14080" width="8.88671875" style="6"/>
    <col min="14081" max="14081" width="12.6640625" style="6" bestFit="1" customWidth="1"/>
    <col min="14082" max="14082" width="8.88671875" style="6"/>
    <col min="14083" max="14083" width="12.6640625" style="6" bestFit="1" customWidth="1"/>
    <col min="14084" max="14336" width="8.88671875" style="6"/>
    <col min="14337" max="14337" width="12.6640625" style="6" bestFit="1" customWidth="1"/>
    <col min="14338" max="14338" width="8.88671875" style="6"/>
    <col min="14339" max="14339" width="12.6640625" style="6" bestFit="1" customWidth="1"/>
    <col min="14340" max="14592" width="8.88671875" style="6"/>
    <col min="14593" max="14593" width="12.6640625" style="6" bestFit="1" customWidth="1"/>
    <col min="14594" max="14594" width="8.88671875" style="6"/>
    <col min="14595" max="14595" width="12.6640625" style="6" bestFit="1" customWidth="1"/>
    <col min="14596" max="14848" width="8.88671875" style="6"/>
    <col min="14849" max="14849" width="12.6640625" style="6" bestFit="1" customWidth="1"/>
    <col min="14850" max="14850" width="8.88671875" style="6"/>
    <col min="14851" max="14851" width="12.6640625" style="6" bestFit="1" customWidth="1"/>
    <col min="14852" max="15104" width="8.88671875" style="6"/>
    <col min="15105" max="15105" width="12.6640625" style="6" bestFit="1" customWidth="1"/>
    <col min="15106" max="15106" width="8.88671875" style="6"/>
    <col min="15107" max="15107" width="12.6640625" style="6" bestFit="1" customWidth="1"/>
    <col min="15108" max="15360" width="8.88671875" style="6"/>
    <col min="15361" max="15361" width="12.6640625" style="6" bestFit="1" customWidth="1"/>
    <col min="15362" max="15362" width="8.88671875" style="6"/>
    <col min="15363" max="15363" width="12.6640625" style="6" bestFit="1" customWidth="1"/>
    <col min="15364" max="15616" width="8.88671875" style="6"/>
    <col min="15617" max="15617" width="12.6640625" style="6" bestFit="1" customWidth="1"/>
    <col min="15618" max="15618" width="8.88671875" style="6"/>
    <col min="15619" max="15619" width="12.6640625" style="6" bestFit="1" customWidth="1"/>
    <col min="15620" max="15872" width="8.88671875" style="6"/>
    <col min="15873" max="15873" width="12.6640625" style="6" bestFit="1" customWidth="1"/>
    <col min="15874" max="15874" width="8.88671875" style="6"/>
    <col min="15875" max="15875" width="12.6640625" style="6" bestFit="1" customWidth="1"/>
    <col min="15876" max="16128" width="8.88671875" style="6"/>
    <col min="16129" max="16129" width="12.6640625" style="6" bestFit="1" customWidth="1"/>
    <col min="16130" max="16130" width="8.88671875" style="6"/>
    <col min="16131" max="16131" width="12.6640625" style="6" bestFit="1" customWidth="1"/>
    <col min="16132" max="16384" width="8.88671875" style="6"/>
  </cols>
  <sheetData>
    <row r="1" spans="1:4" s="27" customFormat="1" ht="15" customHeigh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ht="15" customHeight="1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ht="15" customHeight="1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ht="15" customHeight="1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ht="15" customHeight="1" x14ac:dyDescent="0.25">
      <c r="A5" s="8" t="s">
        <v>27</v>
      </c>
      <c r="B5" s="10">
        <f>4777</f>
        <v>4777</v>
      </c>
      <c r="C5" s="8" t="s">
        <v>28</v>
      </c>
      <c r="D5" s="9">
        <v>0</v>
      </c>
    </row>
    <row r="6" spans="1:4" ht="15" customHeight="1" x14ac:dyDescent="0.25">
      <c r="A6" s="7" t="s">
        <v>29</v>
      </c>
      <c r="B6" s="10">
        <f>SUM(B2:B5)</f>
        <v>4777</v>
      </c>
      <c r="C6" s="7" t="s">
        <v>30</v>
      </c>
      <c r="D6" s="9">
        <v>0</v>
      </c>
    </row>
    <row r="7" spans="1:4" ht="15" customHeight="1" x14ac:dyDescent="0.25">
      <c r="A7" s="8" t="s">
        <v>31</v>
      </c>
      <c r="B7" s="10">
        <v>1000</v>
      </c>
      <c r="C7" s="8" t="s">
        <v>32</v>
      </c>
      <c r="D7" s="9">
        <v>0</v>
      </c>
    </row>
    <row r="8" spans="1:4" ht="15" customHeight="1" x14ac:dyDescent="0.25">
      <c r="A8" s="8" t="s">
        <v>33</v>
      </c>
      <c r="B8" s="10">
        <v>39000</v>
      </c>
      <c r="C8" s="8" t="s">
        <v>34</v>
      </c>
      <c r="D8" s="9">
        <v>0</v>
      </c>
    </row>
    <row r="9" spans="1:4" ht="15" customHeight="1" x14ac:dyDescent="0.25">
      <c r="A9" s="8" t="s">
        <v>35</v>
      </c>
      <c r="B9" s="10">
        <v>0</v>
      </c>
      <c r="C9" s="8" t="s">
        <v>36</v>
      </c>
      <c r="D9" s="10">
        <v>0</v>
      </c>
    </row>
    <row r="10" spans="1:4" ht="15" customHeight="1" x14ac:dyDescent="0.25">
      <c r="A10" s="8" t="s">
        <v>108</v>
      </c>
      <c r="B10" s="10">
        <v>3000</v>
      </c>
      <c r="C10" s="7" t="s">
        <v>38</v>
      </c>
      <c r="D10" s="10">
        <f>SUM(D7:D9)</f>
        <v>0</v>
      </c>
    </row>
    <row r="11" spans="1:4" ht="15" customHeight="1" x14ac:dyDescent="0.25">
      <c r="A11" s="8" t="s">
        <v>109</v>
      </c>
      <c r="B11" s="10">
        <v>0</v>
      </c>
      <c r="C11" s="7" t="s">
        <v>40</v>
      </c>
      <c r="D11" s="10">
        <f>D6+D10</f>
        <v>0</v>
      </c>
    </row>
    <row r="12" spans="1:4" ht="15" customHeight="1" x14ac:dyDescent="0.25">
      <c r="A12" s="7" t="s">
        <v>41</v>
      </c>
      <c r="B12" s="10">
        <f>SUM(B7:B11)</f>
        <v>43000</v>
      </c>
      <c r="C12" s="9"/>
      <c r="D12" s="9"/>
    </row>
    <row r="13" spans="1:4" ht="15" customHeight="1" x14ac:dyDescent="0.25">
      <c r="A13" s="7" t="s">
        <v>42</v>
      </c>
      <c r="B13" s="36">
        <f>B12+B6</f>
        <v>47777</v>
      </c>
      <c r="C13" s="9"/>
      <c r="D13" s="9"/>
    </row>
    <row r="14" spans="1:4" ht="15" customHeight="1" x14ac:dyDescent="0.25">
      <c r="A14" s="7" t="s">
        <v>43</v>
      </c>
      <c r="B14" s="36">
        <f>B13-D11</f>
        <v>47777</v>
      </c>
      <c r="C14" s="10"/>
      <c r="D14" s="9"/>
    </row>
    <row r="15" spans="1:4" ht="15" customHeight="1" x14ac:dyDescent="0.25">
      <c r="A15" s="7" t="s">
        <v>44</v>
      </c>
      <c r="B15" s="10">
        <v>16696</v>
      </c>
      <c r="C15" s="9"/>
      <c r="D15" s="9"/>
    </row>
    <row r="16" spans="1:4" ht="15" customHeight="1" x14ac:dyDescent="0.25">
      <c r="A16" s="7" t="s">
        <v>45</v>
      </c>
      <c r="B16" s="14">
        <f>D11/B13</f>
        <v>0</v>
      </c>
      <c r="C16" s="9"/>
      <c r="D16" s="9"/>
    </row>
    <row r="17" spans="1:4" ht="15" customHeight="1" x14ac:dyDescent="0.25">
      <c r="A17" s="5" t="s">
        <v>46</v>
      </c>
      <c r="B17" s="14">
        <f>B15/B14</f>
        <v>0.34945685162316598</v>
      </c>
      <c r="C17" s="18"/>
      <c r="D17" s="18"/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E5A63-E1D2-4FD3-920D-361D1A6C995D}">
  <dimension ref="A1:D17"/>
  <sheetViews>
    <sheetView workbookViewId="0">
      <selection activeCell="B15" sqref="B15"/>
    </sheetView>
  </sheetViews>
  <sheetFormatPr defaultRowHeight="15" customHeight="1" x14ac:dyDescent="0.25"/>
  <cols>
    <col min="1" max="1" width="12.6640625" style="6" bestFit="1" customWidth="1"/>
    <col min="2" max="2" width="8.88671875" style="6"/>
    <col min="3" max="3" width="12.6640625" style="6" bestFit="1" customWidth="1"/>
    <col min="4" max="256" width="8.88671875" style="6"/>
    <col min="257" max="257" width="12.6640625" style="6" bestFit="1" customWidth="1"/>
    <col min="258" max="258" width="8.88671875" style="6"/>
    <col min="259" max="259" width="12.6640625" style="6" bestFit="1" customWidth="1"/>
    <col min="260" max="512" width="8.88671875" style="6"/>
    <col min="513" max="513" width="12.6640625" style="6" bestFit="1" customWidth="1"/>
    <col min="514" max="514" width="8.88671875" style="6"/>
    <col min="515" max="515" width="12.6640625" style="6" bestFit="1" customWidth="1"/>
    <col min="516" max="768" width="8.88671875" style="6"/>
    <col min="769" max="769" width="12.6640625" style="6" bestFit="1" customWidth="1"/>
    <col min="770" max="770" width="8.88671875" style="6"/>
    <col min="771" max="771" width="12.6640625" style="6" bestFit="1" customWidth="1"/>
    <col min="772" max="1024" width="8.88671875" style="6"/>
    <col min="1025" max="1025" width="12.6640625" style="6" bestFit="1" customWidth="1"/>
    <col min="1026" max="1026" width="8.88671875" style="6"/>
    <col min="1027" max="1027" width="12.6640625" style="6" bestFit="1" customWidth="1"/>
    <col min="1028" max="1280" width="8.88671875" style="6"/>
    <col min="1281" max="1281" width="12.6640625" style="6" bestFit="1" customWidth="1"/>
    <col min="1282" max="1282" width="8.88671875" style="6"/>
    <col min="1283" max="1283" width="12.6640625" style="6" bestFit="1" customWidth="1"/>
    <col min="1284" max="1536" width="8.88671875" style="6"/>
    <col min="1537" max="1537" width="12.6640625" style="6" bestFit="1" customWidth="1"/>
    <col min="1538" max="1538" width="8.88671875" style="6"/>
    <col min="1539" max="1539" width="12.6640625" style="6" bestFit="1" customWidth="1"/>
    <col min="1540" max="1792" width="8.88671875" style="6"/>
    <col min="1793" max="1793" width="12.6640625" style="6" bestFit="1" customWidth="1"/>
    <col min="1794" max="1794" width="8.88671875" style="6"/>
    <col min="1795" max="1795" width="12.6640625" style="6" bestFit="1" customWidth="1"/>
    <col min="1796" max="2048" width="8.88671875" style="6"/>
    <col min="2049" max="2049" width="12.6640625" style="6" bestFit="1" customWidth="1"/>
    <col min="2050" max="2050" width="8.88671875" style="6"/>
    <col min="2051" max="2051" width="12.6640625" style="6" bestFit="1" customWidth="1"/>
    <col min="2052" max="2304" width="8.88671875" style="6"/>
    <col min="2305" max="2305" width="12.6640625" style="6" bestFit="1" customWidth="1"/>
    <col min="2306" max="2306" width="8.88671875" style="6"/>
    <col min="2307" max="2307" width="12.6640625" style="6" bestFit="1" customWidth="1"/>
    <col min="2308" max="2560" width="8.88671875" style="6"/>
    <col min="2561" max="2561" width="12.6640625" style="6" bestFit="1" customWidth="1"/>
    <col min="2562" max="2562" width="8.88671875" style="6"/>
    <col min="2563" max="2563" width="12.6640625" style="6" bestFit="1" customWidth="1"/>
    <col min="2564" max="2816" width="8.88671875" style="6"/>
    <col min="2817" max="2817" width="12.6640625" style="6" bestFit="1" customWidth="1"/>
    <col min="2818" max="2818" width="8.88671875" style="6"/>
    <col min="2819" max="2819" width="12.6640625" style="6" bestFit="1" customWidth="1"/>
    <col min="2820" max="3072" width="8.88671875" style="6"/>
    <col min="3073" max="3073" width="12.6640625" style="6" bestFit="1" customWidth="1"/>
    <col min="3074" max="3074" width="8.88671875" style="6"/>
    <col min="3075" max="3075" width="12.6640625" style="6" bestFit="1" customWidth="1"/>
    <col min="3076" max="3328" width="8.88671875" style="6"/>
    <col min="3329" max="3329" width="12.6640625" style="6" bestFit="1" customWidth="1"/>
    <col min="3330" max="3330" width="8.88671875" style="6"/>
    <col min="3331" max="3331" width="12.6640625" style="6" bestFit="1" customWidth="1"/>
    <col min="3332" max="3584" width="8.88671875" style="6"/>
    <col min="3585" max="3585" width="12.6640625" style="6" bestFit="1" customWidth="1"/>
    <col min="3586" max="3586" width="8.88671875" style="6"/>
    <col min="3587" max="3587" width="12.6640625" style="6" bestFit="1" customWidth="1"/>
    <col min="3588" max="3840" width="8.88671875" style="6"/>
    <col min="3841" max="3841" width="12.6640625" style="6" bestFit="1" customWidth="1"/>
    <col min="3842" max="3842" width="8.88671875" style="6"/>
    <col min="3843" max="3843" width="12.6640625" style="6" bestFit="1" customWidth="1"/>
    <col min="3844" max="4096" width="8.88671875" style="6"/>
    <col min="4097" max="4097" width="12.6640625" style="6" bestFit="1" customWidth="1"/>
    <col min="4098" max="4098" width="8.88671875" style="6"/>
    <col min="4099" max="4099" width="12.6640625" style="6" bestFit="1" customWidth="1"/>
    <col min="4100" max="4352" width="8.88671875" style="6"/>
    <col min="4353" max="4353" width="12.6640625" style="6" bestFit="1" customWidth="1"/>
    <col min="4354" max="4354" width="8.88671875" style="6"/>
    <col min="4355" max="4355" width="12.6640625" style="6" bestFit="1" customWidth="1"/>
    <col min="4356" max="4608" width="8.88671875" style="6"/>
    <col min="4609" max="4609" width="12.6640625" style="6" bestFit="1" customWidth="1"/>
    <col min="4610" max="4610" width="8.88671875" style="6"/>
    <col min="4611" max="4611" width="12.6640625" style="6" bestFit="1" customWidth="1"/>
    <col min="4612" max="4864" width="8.88671875" style="6"/>
    <col min="4865" max="4865" width="12.6640625" style="6" bestFit="1" customWidth="1"/>
    <col min="4866" max="4866" width="8.88671875" style="6"/>
    <col min="4867" max="4867" width="12.6640625" style="6" bestFit="1" customWidth="1"/>
    <col min="4868" max="5120" width="8.88671875" style="6"/>
    <col min="5121" max="5121" width="12.6640625" style="6" bestFit="1" customWidth="1"/>
    <col min="5122" max="5122" width="8.88671875" style="6"/>
    <col min="5123" max="5123" width="12.6640625" style="6" bestFit="1" customWidth="1"/>
    <col min="5124" max="5376" width="8.88671875" style="6"/>
    <col min="5377" max="5377" width="12.6640625" style="6" bestFit="1" customWidth="1"/>
    <col min="5378" max="5378" width="8.88671875" style="6"/>
    <col min="5379" max="5379" width="12.6640625" style="6" bestFit="1" customWidth="1"/>
    <col min="5380" max="5632" width="8.88671875" style="6"/>
    <col min="5633" max="5633" width="12.6640625" style="6" bestFit="1" customWidth="1"/>
    <col min="5634" max="5634" width="8.88671875" style="6"/>
    <col min="5635" max="5635" width="12.6640625" style="6" bestFit="1" customWidth="1"/>
    <col min="5636" max="5888" width="8.88671875" style="6"/>
    <col min="5889" max="5889" width="12.6640625" style="6" bestFit="1" customWidth="1"/>
    <col min="5890" max="5890" width="8.88671875" style="6"/>
    <col min="5891" max="5891" width="12.6640625" style="6" bestFit="1" customWidth="1"/>
    <col min="5892" max="6144" width="8.88671875" style="6"/>
    <col min="6145" max="6145" width="12.6640625" style="6" bestFit="1" customWidth="1"/>
    <col min="6146" max="6146" width="8.88671875" style="6"/>
    <col min="6147" max="6147" width="12.6640625" style="6" bestFit="1" customWidth="1"/>
    <col min="6148" max="6400" width="8.88671875" style="6"/>
    <col min="6401" max="6401" width="12.6640625" style="6" bestFit="1" customWidth="1"/>
    <col min="6402" max="6402" width="8.88671875" style="6"/>
    <col min="6403" max="6403" width="12.6640625" style="6" bestFit="1" customWidth="1"/>
    <col min="6404" max="6656" width="8.88671875" style="6"/>
    <col min="6657" max="6657" width="12.6640625" style="6" bestFit="1" customWidth="1"/>
    <col min="6658" max="6658" width="8.88671875" style="6"/>
    <col min="6659" max="6659" width="12.6640625" style="6" bestFit="1" customWidth="1"/>
    <col min="6660" max="6912" width="8.88671875" style="6"/>
    <col min="6913" max="6913" width="12.6640625" style="6" bestFit="1" customWidth="1"/>
    <col min="6914" max="6914" width="8.88671875" style="6"/>
    <col min="6915" max="6915" width="12.6640625" style="6" bestFit="1" customWidth="1"/>
    <col min="6916" max="7168" width="8.88671875" style="6"/>
    <col min="7169" max="7169" width="12.6640625" style="6" bestFit="1" customWidth="1"/>
    <col min="7170" max="7170" width="8.88671875" style="6"/>
    <col min="7171" max="7171" width="12.6640625" style="6" bestFit="1" customWidth="1"/>
    <col min="7172" max="7424" width="8.88671875" style="6"/>
    <col min="7425" max="7425" width="12.6640625" style="6" bestFit="1" customWidth="1"/>
    <col min="7426" max="7426" width="8.88671875" style="6"/>
    <col min="7427" max="7427" width="12.6640625" style="6" bestFit="1" customWidth="1"/>
    <col min="7428" max="7680" width="8.88671875" style="6"/>
    <col min="7681" max="7681" width="12.6640625" style="6" bestFit="1" customWidth="1"/>
    <col min="7682" max="7682" width="8.88671875" style="6"/>
    <col min="7683" max="7683" width="12.6640625" style="6" bestFit="1" customWidth="1"/>
    <col min="7684" max="7936" width="8.88671875" style="6"/>
    <col min="7937" max="7937" width="12.6640625" style="6" bestFit="1" customWidth="1"/>
    <col min="7938" max="7938" width="8.88671875" style="6"/>
    <col min="7939" max="7939" width="12.6640625" style="6" bestFit="1" customWidth="1"/>
    <col min="7940" max="8192" width="8.88671875" style="6"/>
    <col min="8193" max="8193" width="12.6640625" style="6" bestFit="1" customWidth="1"/>
    <col min="8194" max="8194" width="8.88671875" style="6"/>
    <col min="8195" max="8195" width="12.6640625" style="6" bestFit="1" customWidth="1"/>
    <col min="8196" max="8448" width="8.88671875" style="6"/>
    <col min="8449" max="8449" width="12.6640625" style="6" bestFit="1" customWidth="1"/>
    <col min="8450" max="8450" width="8.88671875" style="6"/>
    <col min="8451" max="8451" width="12.6640625" style="6" bestFit="1" customWidth="1"/>
    <col min="8452" max="8704" width="8.88671875" style="6"/>
    <col min="8705" max="8705" width="12.6640625" style="6" bestFit="1" customWidth="1"/>
    <col min="8706" max="8706" width="8.88671875" style="6"/>
    <col min="8707" max="8707" width="12.6640625" style="6" bestFit="1" customWidth="1"/>
    <col min="8708" max="8960" width="8.88671875" style="6"/>
    <col min="8961" max="8961" width="12.6640625" style="6" bestFit="1" customWidth="1"/>
    <col min="8962" max="8962" width="8.88671875" style="6"/>
    <col min="8963" max="8963" width="12.6640625" style="6" bestFit="1" customWidth="1"/>
    <col min="8964" max="9216" width="8.88671875" style="6"/>
    <col min="9217" max="9217" width="12.6640625" style="6" bestFit="1" customWidth="1"/>
    <col min="9218" max="9218" width="8.88671875" style="6"/>
    <col min="9219" max="9219" width="12.6640625" style="6" bestFit="1" customWidth="1"/>
    <col min="9220" max="9472" width="8.88671875" style="6"/>
    <col min="9473" max="9473" width="12.6640625" style="6" bestFit="1" customWidth="1"/>
    <col min="9474" max="9474" width="8.88671875" style="6"/>
    <col min="9475" max="9475" width="12.6640625" style="6" bestFit="1" customWidth="1"/>
    <col min="9476" max="9728" width="8.88671875" style="6"/>
    <col min="9729" max="9729" width="12.6640625" style="6" bestFit="1" customWidth="1"/>
    <col min="9730" max="9730" width="8.88671875" style="6"/>
    <col min="9731" max="9731" width="12.6640625" style="6" bestFit="1" customWidth="1"/>
    <col min="9732" max="9984" width="8.88671875" style="6"/>
    <col min="9985" max="9985" width="12.6640625" style="6" bestFit="1" customWidth="1"/>
    <col min="9986" max="9986" width="8.88671875" style="6"/>
    <col min="9987" max="9987" width="12.6640625" style="6" bestFit="1" customWidth="1"/>
    <col min="9988" max="10240" width="8.88671875" style="6"/>
    <col min="10241" max="10241" width="12.6640625" style="6" bestFit="1" customWidth="1"/>
    <col min="10242" max="10242" width="8.88671875" style="6"/>
    <col min="10243" max="10243" width="12.6640625" style="6" bestFit="1" customWidth="1"/>
    <col min="10244" max="10496" width="8.88671875" style="6"/>
    <col min="10497" max="10497" width="12.6640625" style="6" bestFit="1" customWidth="1"/>
    <col min="10498" max="10498" width="8.88671875" style="6"/>
    <col min="10499" max="10499" width="12.6640625" style="6" bestFit="1" customWidth="1"/>
    <col min="10500" max="10752" width="8.88671875" style="6"/>
    <col min="10753" max="10753" width="12.6640625" style="6" bestFit="1" customWidth="1"/>
    <col min="10754" max="10754" width="8.88671875" style="6"/>
    <col min="10755" max="10755" width="12.6640625" style="6" bestFit="1" customWidth="1"/>
    <col min="10756" max="11008" width="8.88671875" style="6"/>
    <col min="11009" max="11009" width="12.6640625" style="6" bestFit="1" customWidth="1"/>
    <col min="11010" max="11010" width="8.88671875" style="6"/>
    <col min="11011" max="11011" width="12.6640625" style="6" bestFit="1" customWidth="1"/>
    <col min="11012" max="11264" width="8.88671875" style="6"/>
    <col min="11265" max="11265" width="12.6640625" style="6" bestFit="1" customWidth="1"/>
    <col min="11266" max="11266" width="8.88671875" style="6"/>
    <col min="11267" max="11267" width="12.6640625" style="6" bestFit="1" customWidth="1"/>
    <col min="11268" max="11520" width="8.88671875" style="6"/>
    <col min="11521" max="11521" width="12.6640625" style="6" bestFit="1" customWidth="1"/>
    <col min="11522" max="11522" width="8.88671875" style="6"/>
    <col min="11523" max="11523" width="12.6640625" style="6" bestFit="1" customWidth="1"/>
    <col min="11524" max="11776" width="8.88671875" style="6"/>
    <col min="11777" max="11777" width="12.6640625" style="6" bestFit="1" customWidth="1"/>
    <col min="11778" max="11778" width="8.88671875" style="6"/>
    <col min="11779" max="11779" width="12.6640625" style="6" bestFit="1" customWidth="1"/>
    <col min="11780" max="12032" width="8.88671875" style="6"/>
    <col min="12033" max="12033" width="12.6640625" style="6" bestFit="1" customWidth="1"/>
    <col min="12034" max="12034" width="8.88671875" style="6"/>
    <col min="12035" max="12035" width="12.6640625" style="6" bestFit="1" customWidth="1"/>
    <col min="12036" max="12288" width="8.88671875" style="6"/>
    <col min="12289" max="12289" width="12.6640625" style="6" bestFit="1" customWidth="1"/>
    <col min="12290" max="12290" width="8.88671875" style="6"/>
    <col min="12291" max="12291" width="12.6640625" style="6" bestFit="1" customWidth="1"/>
    <col min="12292" max="12544" width="8.88671875" style="6"/>
    <col min="12545" max="12545" width="12.6640625" style="6" bestFit="1" customWidth="1"/>
    <col min="12546" max="12546" width="8.88671875" style="6"/>
    <col min="12547" max="12547" width="12.6640625" style="6" bestFit="1" customWidth="1"/>
    <col min="12548" max="12800" width="8.88671875" style="6"/>
    <col min="12801" max="12801" width="12.6640625" style="6" bestFit="1" customWidth="1"/>
    <col min="12802" max="12802" width="8.88671875" style="6"/>
    <col min="12803" max="12803" width="12.6640625" style="6" bestFit="1" customWidth="1"/>
    <col min="12804" max="13056" width="8.88671875" style="6"/>
    <col min="13057" max="13057" width="12.6640625" style="6" bestFit="1" customWidth="1"/>
    <col min="13058" max="13058" width="8.88671875" style="6"/>
    <col min="13059" max="13059" width="12.6640625" style="6" bestFit="1" customWidth="1"/>
    <col min="13060" max="13312" width="8.88671875" style="6"/>
    <col min="13313" max="13313" width="12.6640625" style="6" bestFit="1" customWidth="1"/>
    <col min="13314" max="13314" width="8.88671875" style="6"/>
    <col min="13315" max="13315" width="12.6640625" style="6" bestFit="1" customWidth="1"/>
    <col min="13316" max="13568" width="8.88671875" style="6"/>
    <col min="13569" max="13569" width="12.6640625" style="6" bestFit="1" customWidth="1"/>
    <col min="13570" max="13570" width="8.88671875" style="6"/>
    <col min="13571" max="13571" width="12.6640625" style="6" bestFit="1" customWidth="1"/>
    <col min="13572" max="13824" width="8.88671875" style="6"/>
    <col min="13825" max="13825" width="12.6640625" style="6" bestFit="1" customWidth="1"/>
    <col min="13826" max="13826" width="8.88671875" style="6"/>
    <col min="13827" max="13827" width="12.6640625" style="6" bestFit="1" customWidth="1"/>
    <col min="13828" max="14080" width="8.88671875" style="6"/>
    <col min="14081" max="14081" width="12.6640625" style="6" bestFit="1" customWidth="1"/>
    <col min="14082" max="14082" width="8.88671875" style="6"/>
    <col min="14083" max="14083" width="12.6640625" style="6" bestFit="1" customWidth="1"/>
    <col min="14084" max="14336" width="8.88671875" style="6"/>
    <col min="14337" max="14337" width="12.6640625" style="6" bestFit="1" customWidth="1"/>
    <col min="14338" max="14338" width="8.88671875" style="6"/>
    <col min="14339" max="14339" width="12.6640625" style="6" bestFit="1" customWidth="1"/>
    <col min="14340" max="14592" width="8.88671875" style="6"/>
    <col min="14593" max="14593" width="12.6640625" style="6" bestFit="1" customWidth="1"/>
    <col min="14594" max="14594" width="8.88671875" style="6"/>
    <col min="14595" max="14595" width="12.6640625" style="6" bestFit="1" customWidth="1"/>
    <col min="14596" max="14848" width="8.88671875" style="6"/>
    <col min="14849" max="14849" width="12.6640625" style="6" bestFit="1" customWidth="1"/>
    <col min="14850" max="14850" width="8.88671875" style="6"/>
    <col min="14851" max="14851" width="12.6640625" style="6" bestFit="1" customWidth="1"/>
    <col min="14852" max="15104" width="8.88671875" style="6"/>
    <col min="15105" max="15105" width="12.6640625" style="6" bestFit="1" customWidth="1"/>
    <col min="15106" max="15106" width="8.88671875" style="6"/>
    <col min="15107" max="15107" width="12.6640625" style="6" bestFit="1" customWidth="1"/>
    <col min="15108" max="15360" width="8.88671875" style="6"/>
    <col min="15361" max="15361" width="12.6640625" style="6" bestFit="1" customWidth="1"/>
    <col min="15362" max="15362" width="8.88671875" style="6"/>
    <col min="15363" max="15363" width="12.6640625" style="6" bestFit="1" customWidth="1"/>
    <col min="15364" max="15616" width="8.88671875" style="6"/>
    <col min="15617" max="15617" width="12.6640625" style="6" bestFit="1" customWidth="1"/>
    <col min="15618" max="15618" width="8.88671875" style="6"/>
    <col min="15619" max="15619" width="12.6640625" style="6" bestFit="1" customWidth="1"/>
    <col min="15620" max="15872" width="8.88671875" style="6"/>
    <col min="15873" max="15873" width="12.6640625" style="6" bestFit="1" customWidth="1"/>
    <col min="15874" max="15874" width="8.88671875" style="6"/>
    <col min="15875" max="15875" width="12.6640625" style="6" bestFit="1" customWidth="1"/>
    <col min="15876" max="16128" width="8.88671875" style="6"/>
    <col min="16129" max="16129" width="12.6640625" style="6" bestFit="1" customWidth="1"/>
    <col min="16130" max="16130" width="8.88671875" style="6"/>
    <col min="16131" max="16131" width="12.6640625" style="6" bestFit="1" customWidth="1"/>
    <col min="16132" max="16384" width="8.88671875" style="6"/>
  </cols>
  <sheetData>
    <row r="1" spans="1:4" s="27" customFormat="1" ht="15" customHeigh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ht="15" customHeight="1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ht="15" customHeight="1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ht="15" customHeight="1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ht="15" customHeight="1" x14ac:dyDescent="0.25">
      <c r="A5" s="8" t="s">
        <v>27</v>
      </c>
      <c r="B5" s="10">
        <f>2330+2015+5149</f>
        <v>9494</v>
      </c>
      <c r="C5" s="8" t="s">
        <v>28</v>
      </c>
      <c r="D5" s="9">
        <v>0</v>
      </c>
    </row>
    <row r="6" spans="1:4" ht="15" customHeight="1" x14ac:dyDescent="0.25">
      <c r="A6" s="7" t="s">
        <v>29</v>
      </c>
      <c r="B6" s="10">
        <f>SUM(B2:B5)</f>
        <v>9494</v>
      </c>
      <c r="C6" s="7" t="s">
        <v>30</v>
      </c>
      <c r="D6" s="9">
        <v>0</v>
      </c>
    </row>
    <row r="7" spans="1:4" ht="15" customHeight="1" x14ac:dyDescent="0.25">
      <c r="A7" s="8" t="s">
        <v>31</v>
      </c>
      <c r="B7" s="10">
        <f>9646+15969-B6</f>
        <v>16121</v>
      </c>
      <c r="C7" s="8" t="s">
        <v>32</v>
      </c>
      <c r="D7" s="9">
        <v>0</v>
      </c>
    </row>
    <row r="8" spans="1:4" ht="15" customHeight="1" x14ac:dyDescent="0.25">
      <c r="A8" s="8" t="s">
        <v>33</v>
      </c>
      <c r="B8" s="10">
        <v>0</v>
      </c>
      <c r="C8" s="8" t="s">
        <v>34</v>
      </c>
      <c r="D8" s="9">
        <v>0</v>
      </c>
    </row>
    <row r="9" spans="1:4" ht="15" customHeight="1" x14ac:dyDescent="0.25">
      <c r="A9" s="8" t="s">
        <v>35</v>
      </c>
      <c r="B9" s="10">
        <v>0</v>
      </c>
      <c r="C9" s="8" t="s">
        <v>36</v>
      </c>
      <c r="D9" s="9">
        <v>0</v>
      </c>
    </row>
    <row r="10" spans="1:4" ht="15" customHeight="1" x14ac:dyDescent="0.25">
      <c r="A10" s="8" t="s">
        <v>108</v>
      </c>
      <c r="B10" s="10">
        <v>0</v>
      </c>
      <c r="C10" s="7" t="s">
        <v>38</v>
      </c>
      <c r="D10" s="9">
        <f>SUM(D7:D9)</f>
        <v>0</v>
      </c>
    </row>
    <row r="11" spans="1:4" ht="15" customHeight="1" x14ac:dyDescent="0.25">
      <c r="A11" s="8" t="s">
        <v>109</v>
      </c>
      <c r="B11" s="10">
        <v>0</v>
      </c>
      <c r="C11" s="7" t="s">
        <v>40</v>
      </c>
      <c r="D11" s="9">
        <f>D6+D10</f>
        <v>0</v>
      </c>
    </row>
    <row r="12" spans="1:4" ht="15" customHeight="1" x14ac:dyDescent="0.25">
      <c r="A12" s="7" t="s">
        <v>41</v>
      </c>
      <c r="B12" s="10">
        <f>SUM(B7:B11)</f>
        <v>16121</v>
      </c>
      <c r="C12" s="9"/>
      <c r="D12" s="9"/>
    </row>
    <row r="13" spans="1:4" ht="15" customHeight="1" x14ac:dyDescent="0.25">
      <c r="A13" s="7" t="s">
        <v>42</v>
      </c>
      <c r="B13" s="36">
        <f>B12+B6</f>
        <v>25615</v>
      </c>
      <c r="C13" s="9"/>
      <c r="D13" s="9"/>
    </row>
    <row r="14" spans="1:4" ht="15" customHeight="1" x14ac:dyDescent="0.25">
      <c r="A14" s="7" t="s">
        <v>43</v>
      </c>
      <c r="B14" s="36">
        <f>B13-D11</f>
        <v>25615</v>
      </c>
      <c r="C14" s="10"/>
      <c r="D14" s="9"/>
    </row>
    <row r="15" spans="1:4" ht="15" customHeight="1" x14ac:dyDescent="0.25">
      <c r="A15" s="7" t="s">
        <v>44</v>
      </c>
      <c r="B15" s="10">
        <v>15969</v>
      </c>
      <c r="C15" s="9"/>
      <c r="D15" s="9"/>
    </row>
    <row r="16" spans="1:4" ht="15" customHeight="1" x14ac:dyDescent="0.25">
      <c r="A16" s="7" t="s">
        <v>45</v>
      </c>
      <c r="B16" s="14">
        <f>D11/B13</f>
        <v>0</v>
      </c>
      <c r="C16" s="9"/>
      <c r="D16" s="9"/>
    </row>
    <row r="17" spans="1:4" ht="15" customHeight="1" x14ac:dyDescent="0.25">
      <c r="A17" s="5" t="s">
        <v>46</v>
      </c>
      <c r="B17" s="14">
        <f>B15/B14</f>
        <v>0.62342377513175873</v>
      </c>
      <c r="C17" s="18"/>
      <c r="D17" s="18"/>
    </row>
  </sheetData>
  <phoneticPr fontId="1" type="noConversion"/>
  <pageMargins left="0.75" right="0.75" top="1" bottom="1" header="0.5" footer="0.5"/>
  <headerFooter alignWithMargins="0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754B1-4334-45C2-81A0-5E900CBAD968}">
  <dimension ref="A1:D17"/>
  <sheetViews>
    <sheetView workbookViewId="0">
      <selection activeCell="B13" sqref="B13"/>
    </sheetView>
  </sheetViews>
  <sheetFormatPr defaultRowHeight="15" customHeight="1" x14ac:dyDescent="0.25"/>
  <cols>
    <col min="1" max="1" width="12.6640625" style="6" bestFit="1" customWidth="1"/>
    <col min="2" max="2" width="8.88671875" style="6"/>
    <col min="3" max="3" width="12.6640625" style="6" bestFit="1" customWidth="1"/>
    <col min="4" max="256" width="8.88671875" style="6"/>
    <col min="257" max="257" width="12.6640625" style="6" bestFit="1" customWidth="1"/>
    <col min="258" max="258" width="8.88671875" style="6"/>
    <col min="259" max="259" width="12.6640625" style="6" bestFit="1" customWidth="1"/>
    <col min="260" max="512" width="8.88671875" style="6"/>
    <col min="513" max="513" width="12.6640625" style="6" bestFit="1" customWidth="1"/>
    <col min="514" max="514" width="8.88671875" style="6"/>
    <col min="515" max="515" width="12.6640625" style="6" bestFit="1" customWidth="1"/>
    <col min="516" max="768" width="8.88671875" style="6"/>
    <col min="769" max="769" width="12.6640625" style="6" bestFit="1" customWidth="1"/>
    <col min="770" max="770" width="8.88671875" style="6"/>
    <col min="771" max="771" width="12.6640625" style="6" bestFit="1" customWidth="1"/>
    <col min="772" max="1024" width="8.88671875" style="6"/>
    <col min="1025" max="1025" width="12.6640625" style="6" bestFit="1" customWidth="1"/>
    <col min="1026" max="1026" width="8.88671875" style="6"/>
    <col min="1027" max="1027" width="12.6640625" style="6" bestFit="1" customWidth="1"/>
    <col min="1028" max="1280" width="8.88671875" style="6"/>
    <col min="1281" max="1281" width="12.6640625" style="6" bestFit="1" customWidth="1"/>
    <col min="1282" max="1282" width="8.88671875" style="6"/>
    <col min="1283" max="1283" width="12.6640625" style="6" bestFit="1" customWidth="1"/>
    <col min="1284" max="1536" width="8.88671875" style="6"/>
    <col min="1537" max="1537" width="12.6640625" style="6" bestFit="1" customWidth="1"/>
    <col min="1538" max="1538" width="8.88671875" style="6"/>
    <col min="1539" max="1539" width="12.6640625" style="6" bestFit="1" customWidth="1"/>
    <col min="1540" max="1792" width="8.88671875" style="6"/>
    <col min="1793" max="1793" width="12.6640625" style="6" bestFit="1" customWidth="1"/>
    <col min="1794" max="1794" width="8.88671875" style="6"/>
    <col min="1795" max="1795" width="12.6640625" style="6" bestFit="1" customWidth="1"/>
    <col min="1796" max="2048" width="8.88671875" style="6"/>
    <col min="2049" max="2049" width="12.6640625" style="6" bestFit="1" customWidth="1"/>
    <col min="2050" max="2050" width="8.88671875" style="6"/>
    <col min="2051" max="2051" width="12.6640625" style="6" bestFit="1" customWidth="1"/>
    <col min="2052" max="2304" width="8.88671875" style="6"/>
    <col min="2305" max="2305" width="12.6640625" style="6" bestFit="1" customWidth="1"/>
    <col min="2306" max="2306" width="8.88671875" style="6"/>
    <col min="2307" max="2307" width="12.6640625" style="6" bestFit="1" customWidth="1"/>
    <col min="2308" max="2560" width="8.88671875" style="6"/>
    <col min="2561" max="2561" width="12.6640625" style="6" bestFit="1" customWidth="1"/>
    <col min="2562" max="2562" width="8.88671875" style="6"/>
    <col min="2563" max="2563" width="12.6640625" style="6" bestFit="1" customWidth="1"/>
    <col min="2564" max="2816" width="8.88671875" style="6"/>
    <col min="2817" max="2817" width="12.6640625" style="6" bestFit="1" customWidth="1"/>
    <col min="2818" max="2818" width="8.88671875" style="6"/>
    <col min="2819" max="2819" width="12.6640625" style="6" bestFit="1" customWidth="1"/>
    <col min="2820" max="3072" width="8.88671875" style="6"/>
    <col min="3073" max="3073" width="12.6640625" style="6" bestFit="1" customWidth="1"/>
    <col min="3074" max="3074" width="8.88671875" style="6"/>
    <col min="3075" max="3075" width="12.6640625" style="6" bestFit="1" customWidth="1"/>
    <col min="3076" max="3328" width="8.88671875" style="6"/>
    <col min="3329" max="3329" width="12.6640625" style="6" bestFit="1" customWidth="1"/>
    <col min="3330" max="3330" width="8.88671875" style="6"/>
    <col min="3331" max="3331" width="12.6640625" style="6" bestFit="1" customWidth="1"/>
    <col min="3332" max="3584" width="8.88671875" style="6"/>
    <col min="3585" max="3585" width="12.6640625" style="6" bestFit="1" customWidth="1"/>
    <col min="3586" max="3586" width="8.88671875" style="6"/>
    <col min="3587" max="3587" width="12.6640625" style="6" bestFit="1" customWidth="1"/>
    <col min="3588" max="3840" width="8.88671875" style="6"/>
    <col min="3841" max="3841" width="12.6640625" style="6" bestFit="1" customWidth="1"/>
    <col min="3842" max="3842" width="8.88671875" style="6"/>
    <col min="3843" max="3843" width="12.6640625" style="6" bestFit="1" customWidth="1"/>
    <col min="3844" max="4096" width="8.88671875" style="6"/>
    <col min="4097" max="4097" width="12.6640625" style="6" bestFit="1" customWidth="1"/>
    <col min="4098" max="4098" width="8.88671875" style="6"/>
    <col min="4099" max="4099" width="12.6640625" style="6" bestFit="1" customWidth="1"/>
    <col min="4100" max="4352" width="8.88671875" style="6"/>
    <col min="4353" max="4353" width="12.6640625" style="6" bestFit="1" customWidth="1"/>
    <col min="4354" max="4354" width="8.88671875" style="6"/>
    <col min="4355" max="4355" width="12.6640625" style="6" bestFit="1" customWidth="1"/>
    <col min="4356" max="4608" width="8.88671875" style="6"/>
    <col min="4609" max="4609" width="12.6640625" style="6" bestFit="1" customWidth="1"/>
    <col min="4610" max="4610" width="8.88671875" style="6"/>
    <col min="4611" max="4611" width="12.6640625" style="6" bestFit="1" customWidth="1"/>
    <col min="4612" max="4864" width="8.88671875" style="6"/>
    <col min="4865" max="4865" width="12.6640625" style="6" bestFit="1" customWidth="1"/>
    <col min="4866" max="4866" width="8.88671875" style="6"/>
    <col min="4867" max="4867" width="12.6640625" style="6" bestFit="1" customWidth="1"/>
    <col min="4868" max="5120" width="8.88671875" style="6"/>
    <col min="5121" max="5121" width="12.6640625" style="6" bestFit="1" customWidth="1"/>
    <col min="5122" max="5122" width="8.88671875" style="6"/>
    <col min="5123" max="5123" width="12.6640625" style="6" bestFit="1" customWidth="1"/>
    <col min="5124" max="5376" width="8.88671875" style="6"/>
    <col min="5377" max="5377" width="12.6640625" style="6" bestFit="1" customWidth="1"/>
    <col min="5378" max="5378" width="8.88671875" style="6"/>
    <col min="5379" max="5379" width="12.6640625" style="6" bestFit="1" customWidth="1"/>
    <col min="5380" max="5632" width="8.88671875" style="6"/>
    <col min="5633" max="5633" width="12.6640625" style="6" bestFit="1" customWidth="1"/>
    <col min="5634" max="5634" width="8.88671875" style="6"/>
    <col min="5635" max="5635" width="12.6640625" style="6" bestFit="1" customWidth="1"/>
    <col min="5636" max="5888" width="8.88671875" style="6"/>
    <col min="5889" max="5889" width="12.6640625" style="6" bestFit="1" customWidth="1"/>
    <col min="5890" max="5890" width="8.88671875" style="6"/>
    <col min="5891" max="5891" width="12.6640625" style="6" bestFit="1" customWidth="1"/>
    <col min="5892" max="6144" width="8.88671875" style="6"/>
    <col min="6145" max="6145" width="12.6640625" style="6" bestFit="1" customWidth="1"/>
    <col min="6146" max="6146" width="8.88671875" style="6"/>
    <col min="6147" max="6147" width="12.6640625" style="6" bestFit="1" customWidth="1"/>
    <col min="6148" max="6400" width="8.88671875" style="6"/>
    <col min="6401" max="6401" width="12.6640625" style="6" bestFit="1" customWidth="1"/>
    <col min="6402" max="6402" width="8.88671875" style="6"/>
    <col min="6403" max="6403" width="12.6640625" style="6" bestFit="1" customWidth="1"/>
    <col min="6404" max="6656" width="8.88671875" style="6"/>
    <col min="6657" max="6657" width="12.6640625" style="6" bestFit="1" customWidth="1"/>
    <col min="6658" max="6658" width="8.88671875" style="6"/>
    <col min="6659" max="6659" width="12.6640625" style="6" bestFit="1" customWidth="1"/>
    <col min="6660" max="6912" width="8.88671875" style="6"/>
    <col min="6913" max="6913" width="12.6640625" style="6" bestFit="1" customWidth="1"/>
    <col min="6914" max="6914" width="8.88671875" style="6"/>
    <col min="6915" max="6915" width="12.6640625" style="6" bestFit="1" customWidth="1"/>
    <col min="6916" max="7168" width="8.88671875" style="6"/>
    <col min="7169" max="7169" width="12.6640625" style="6" bestFit="1" customWidth="1"/>
    <col min="7170" max="7170" width="8.88671875" style="6"/>
    <col min="7171" max="7171" width="12.6640625" style="6" bestFit="1" customWidth="1"/>
    <col min="7172" max="7424" width="8.88671875" style="6"/>
    <col min="7425" max="7425" width="12.6640625" style="6" bestFit="1" customWidth="1"/>
    <col min="7426" max="7426" width="8.88671875" style="6"/>
    <col min="7427" max="7427" width="12.6640625" style="6" bestFit="1" customWidth="1"/>
    <col min="7428" max="7680" width="8.88671875" style="6"/>
    <col min="7681" max="7681" width="12.6640625" style="6" bestFit="1" customWidth="1"/>
    <col min="7682" max="7682" width="8.88671875" style="6"/>
    <col min="7683" max="7683" width="12.6640625" style="6" bestFit="1" customWidth="1"/>
    <col min="7684" max="7936" width="8.88671875" style="6"/>
    <col min="7937" max="7937" width="12.6640625" style="6" bestFit="1" customWidth="1"/>
    <col min="7938" max="7938" width="8.88671875" style="6"/>
    <col min="7939" max="7939" width="12.6640625" style="6" bestFit="1" customWidth="1"/>
    <col min="7940" max="8192" width="8.88671875" style="6"/>
    <col min="8193" max="8193" width="12.6640625" style="6" bestFit="1" customWidth="1"/>
    <col min="8194" max="8194" width="8.88671875" style="6"/>
    <col min="8195" max="8195" width="12.6640625" style="6" bestFit="1" customWidth="1"/>
    <col min="8196" max="8448" width="8.88671875" style="6"/>
    <col min="8449" max="8449" width="12.6640625" style="6" bestFit="1" customWidth="1"/>
    <col min="8450" max="8450" width="8.88671875" style="6"/>
    <col min="8451" max="8451" width="12.6640625" style="6" bestFit="1" customWidth="1"/>
    <col min="8452" max="8704" width="8.88671875" style="6"/>
    <col min="8705" max="8705" width="12.6640625" style="6" bestFit="1" customWidth="1"/>
    <col min="8706" max="8706" width="8.88671875" style="6"/>
    <col min="8707" max="8707" width="12.6640625" style="6" bestFit="1" customWidth="1"/>
    <col min="8708" max="8960" width="8.88671875" style="6"/>
    <col min="8961" max="8961" width="12.6640625" style="6" bestFit="1" customWidth="1"/>
    <col min="8962" max="8962" width="8.88671875" style="6"/>
    <col min="8963" max="8963" width="12.6640625" style="6" bestFit="1" customWidth="1"/>
    <col min="8964" max="9216" width="8.88671875" style="6"/>
    <col min="9217" max="9217" width="12.6640625" style="6" bestFit="1" customWidth="1"/>
    <col min="9218" max="9218" width="8.88671875" style="6"/>
    <col min="9219" max="9219" width="12.6640625" style="6" bestFit="1" customWidth="1"/>
    <col min="9220" max="9472" width="8.88671875" style="6"/>
    <col min="9473" max="9473" width="12.6640625" style="6" bestFit="1" customWidth="1"/>
    <col min="9474" max="9474" width="8.88671875" style="6"/>
    <col min="9475" max="9475" width="12.6640625" style="6" bestFit="1" customWidth="1"/>
    <col min="9476" max="9728" width="8.88671875" style="6"/>
    <col min="9729" max="9729" width="12.6640625" style="6" bestFit="1" customWidth="1"/>
    <col min="9730" max="9730" width="8.88671875" style="6"/>
    <col min="9731" max="9731" width="12.6640625" style="6" bestFit="1" customWidth="1"/>
    <col min="9732" max="9984" width="8.88671875" style="6"/>
    <col min="9985" max="9985" width="12.6640625" style="6" bestFit="1" customWidth="1"/>
    <col min="9986" max="9986" width="8.88671875" style="6"/>
    <col min="9987" max="9987" width="12.6640625" style="6" bestFit="1" customWidth="1"/>
    <col min="9988" max="10240" width="8.88671875" style="6"/>
    <col min="10241" max="10241" width="12.6640625" style="6" bestFit="1" customWidth="1"/>
    <col min="10242" max="10242" width="8.88671875" style="6"/>
    <col min="10243" max="10243" width="12.6640625" style="6" bestFit="1" customWidth="1"/>
    <col min="10244" max="10496" width="8.88671875" style="6"/>
    <col min="10497" max="10497" width="12.6640625" style="6" bestFit="1" customWidth="1"/>
    <col min="10498" max="10498" width="8.88671875" style="6"/>
    <col min="10499" max="10499" width="12.6640625" style="6" bestFit="1" customWidth="1"/>
    <col min="10500" max="10752" width="8.88671875" style="6"/>
    <col min="10753" max="10753" width="12.6640625" style="6" bestFit="1" customWidth="1"/>
    <col min="10754" max="10754" width="8.88671875" style="6"/>
    <col min="10755" max="10755" width="12.6640625" style="6" bestFit="1" customWidth="1"/>
    <col min="10756" max="11008" width="8.88671875" style="6"/>
    <col min="11009" max="11009" width="12.6640625" style="6" bestFit="1" customWidth="1"/>
    <col min="11010" max="11010" width="8.88671875" style="6"/>
    <col min="11011" max="11011" width="12.6640625" style="6" bestFit="1" customWidth="1"/>
    <col min="11012" max="11264" width="8.88671875" style="6"/>
    <col min="11265" max="11265" width="12.6640625" style="6" bestFit="1" customWidth="1"/>
    <col min="11266" max="11266" width="8.88671875" style="6"/>
    <col min="11267" max="11267" width="12.6640625" style="6" bestFit="1" customWidth="1"/>
    <col min="11268" max="11520" width="8.88671875" style="6"/>
    <col min="11521" max="11521" width="12.6640625" style="6" bestFit="1" customWidth="1"/>
    <col min="11522" max="11522" width="8.88671875" style="6"/>
    <col min="11523" max="11523" width="12.6640625" style="6" bestFit="1" customWidth="1"/>
    <col min="11524" max="11776" width="8.88671875" style="6"/>
    <col min="11777" max="11777" width="12.6640625" style="6" bestFit="1" customWidth="1"/>
    <col min="11778" max="11778" width="8.88671875" style="6"/>
    <col min="11779" max="11779" width="12.6640625" style="6" bestFit="1" customWidth="1"/>
    <col min="11780" max="12032" width="8.88671875" style="6"/>
    <col min="12033" max="12033" width="12.6640625" style="6" bestFit="1" customWidth="1"/>
    <col min="12034" max="12034" width="8.88671875" style="6"/>
    <col min="12035" max="12035" width="12.6640625" style="6" bestFit="1" customWidth="1"/>
    <col min="12036" max="12288" width="8.88671875" style="6"/>
    <col min="12289" max="12289" width="12.6640625" style="6" bestFit="1" customWidth="1"/>
    <col min="12290" max="12290" width="8.88671875" style="6"/>
    <col min="12291" max="12291" width="12.6640625" style="6" bestFit="1" customWidth="1"/>
    <col min="12292" max="12544" width="8.88671875" style="6"/>
    <col min="12545" max="12545" width="12.6640625" style="6" bestFit="1" customWidth="1"/>
    <col min="12546" max="12546" width="8.88671875" style="6"/>
    <col min="12547" max="12547" width="12.6640625" style="6" bestFit="1" customWidth="1"/>
    <col min="12548" max="12800" width="8.88671875" style="6"/>
    <col min="12801" max="12801" width="12.6640625" style="6" bestFit="1" customWidth="1"/>
    <col min="12802" max="12802" width="8.88671875" style="6"/>
    <col min="12803" max="12803" width="12.6640625" style="6" bestFit="1" customWidth="1"/>
    <col min="12804" max="13056" width="8.88671875" style="6"/>
    <col min="13057" max="13057" width="12.6640625" style="6" bestFit="1" customWidth="1"/>
    <col min="13058" max="13058" width="8.88671875" style="6"/>
    <col min="13059" max="13059" width="12.6640625" style="6" bestFit="1" customWidth="1"/>
    <col min="13060" max="13312" width="8.88671875" style="6"/>
    <col min="13313" max="13313" width="12.6640625" style="6" bestFit="1" customWidth="1"/>
    <col min="13314" max="13314" width="8.88671875" style="6"/>
    <col min="13315" max="13315" width="12.6640625" style="6" bestFit="1" customWidth="1"/>
    <col min="13316" max="13568" width="8.88671875" style="6"/>
    <col min="13569" max="13569" width="12.6640625" style="6" bestFit="1" customWidth="1"/>
    <col min="13570" max="13570" width="8.88671875" style="6"/>
    <col min="13571" max="13571" width="12.6640625" style="6" bestFit="1" customWidth="1"/>
    <col min="13572" max="13824" width="8.88671875" style="6"/>
    <col min="13825" max="13825" width="12.6640625" style="6" bestFit="1" customWidth="1"/>
    <col min="13826" max="13826" width="8.88671875" style="6"/>
    <col min="13827" max="13827" width="12.6640625" style="6" bestFit="1" customWidth="1"/>
    <col min="13828" max="14080" width="8.88671875" style="6"/>
    <col min="14081" max="14081" width="12.6640625" style="6" bestFit="1" customWidth="1"/>
    <col min="14082" max="14082" width="8.88671875" style="6"/>
    <col min="14083" max="14083" width="12.6640625" style="6" bestFit="1" customWidth="1"/>
    <col min="14084" max="14336" width="8.88671875" style="6"/>
    <col min="14337" max="14337" width="12.6640625" style="6" bestFit="1" customWidth="1"/>
    <col min="14338" max="14338" width="8.88671875" style="6"/>
    <col min="14339" max="14339" width="12.6640625" style="6" bestFit="1" customWidth="1"/>
    <col min="14340" max="14592" width="8.88671875" style="6"/>
    <col min="14593" max="14593" width="12.6640625" style="6" bestFit="1" customWidth="1"/>
    <col min="14594" max="14594" width="8.88671875" style="6"/>
    <col min="14595" max="14595" width="12.6640625" style="6" bestFit="1" customWidth="1"/>
    <col min="14596" max="14848" width="8.88671875" style="6"/>
    <col min="14849" max="14849" width="12.6640625" style="6" bestFit="1" customWidth="1"/>
    <col min="14850" max="14850" width="8.88671875" style="6"/>
    <col min="14851" max="14851" width="12.6640625" style="6" bestFit="1" customWidth="1"/>
    <col min="14852" max="15104" width="8.88671875" style="6"/>
    <col min="15105" max="15105" width="12.6640625" style="6" bestFit="1" customWidth="1"/>
    <col min="15106" max="15106" width="8.88671875" style="6"/>
    <col min="15107" max="15107" width="12.6640625" style="6" bestFit="1" customWidth="1"/>
    <col min="15108" max="15360" width="8.88671875" style="6"/>
    <col min="15361" max="15361" width="12.6640625" style="6" bestFit="1" customWidth="1"/>
    <col min="15362" max="15362" width="8.88671875" style="6"/>
    <col min="15363" max="15363" width="12.6640625" style="6" bestFit="1" customWidth="1"/>
    <col min="15364" max="15616" width="8.88671875" style="6"/>
    <col min="15617" max="15617" width="12.6640625" style="6" bestFit="1" customWidth="1"/>
    <col min="15618" max="15618" width="8.88671875" style="6"/>
    <col min="15619" max="15619" width="12.6640625" style="6" bestFit="1" customWidth="1"/>
    <col min="15620" max="15872" width="8.88671875" style="6"/>
    <col min="15873" max="15873" width="12.6640625" style="6" bestFit="1" customWidth="1"/>
    <col min="15874" max="15874" width="8.88671875" style="6"/>
    <col min="15875" max="15875" width="12.6640625" style="6" bestFit="1" customWidth="1"/>
    <col min="15876" max="16128" width="8.88671875" style="6"/>
    <col min="16129" max="16129" width="12.6640625" style="6" bestFit="1" customWidth="1"/>
    <col min="16130" max="16130" width="8.88671875" style="6"/>
    <col min="16131" max="16131" width="12.6640625" style="6" bestFit="1" customWidth="1"/>
    <col min="16132" max="16384" width="8.88671875" style="6"/>
  </cols>
  <sheetData>
    <row r="1" spans="1:4" s="27" customFormat="1" ht="15" customHeight="1" x14ac:dyDescent="0.25">
      <c r="A1" s="7" t="s">
        <v>18</v>
      </c>
      <c r="B1" s="7" t="s">
        <v>19</v>
      </c>
      <c r="C1" s="7" t="s">
        <v>20</v>
      </c>
      <c r="D1" s="7" t="s">
        <v>19</v>
      </c>
    </row>
    <row r="2" spans="1:4" ht="15" customHeight="1" x14ac:dyDescent="0.25">
      <c r="A2" s="8" t="s">
        <v>21</v>
      </c>
      <c r="B2" s="9">
        <v>0</v>
      </c>
      <c r="C2" s="8" t="s">
        <v>22</v>
      </c>
      <c r="D2" s="9">
        <v>0</v>
      </c>
    </row>
    <row r="3" spans="1:4" ht="15" customHeight="1" x14ac:dyDescent="0.25">
      <c r="A3" s="8" t="s">
        <v>23</v>
      </c>
      <c r="B3" s="9">
        <v>0</v>
      </c>
      <c r="C3" s="8" t="s">
        <v>24</v>
      </c>
      <c r="D3" s="9">
        <v>0</v>
      </c>
    </row>
    <row r="4" spans="1:4" ht="15" customHeight="1" x14ac:dyDescent="0.25">
      <c r="A4" s="8" t="s">
        <v>25</v>
      </c>
      <c r="B4" s="9">
        <v>0</v>
      </c>
      <c r="C4" s="8" t="s">
        <v>26</v>
      </c>
      <c r="D4" s="9">
        <v>0</v>
      </c>
    </row>
    <row r="5" spans="1:4" ht="15" customHeight="1" x14ac:dyDescent="0.25">
      <c r="A5" s="8" t="s">
        <v>27</v>
      </c>
      <c r="B5" s="9">
        <v>0</v>
      </c>
      <c r="C5" s="8" t="s">
        <v>28</v>
      </c>
      <c r="D5" s="9">
        <v>0</v>
      </c>
    </row>
    <row r="6" spans="1:4" ht="15" customHeight="1" x14ac:dyDescent="0.25">
      <c r="A6" s="7" t="s">
        <v>29</v>
      </c>
      <c r="B6" s="9">
        <v>0</v>
      </c>
      <c r="C6" s="7" t="s">
        <v>30</v>
      </c>
      <c r="D6" s="9">
        <v>0</v>
      </c>
    </row>
    <row r="7" spans="1:4" ht="15" customHeight="1" x14ac:dyDescent="0.25">
      <c r="A7" s="8" t="s">
        <v>31</v>
      </c>
      <c r="B7" s="10">
        <v>9646</v>
      </c>
      <c r="C7" s="8" t="s">
        <v>32</v>
      </c>
      <c r="D7" s="9">
        <v>0</v>
      </c>
    </row>
    <row r="8" spans="1:4" ht="15" customHeight="1" x14ac:dyDescent="0.25">
      <c r="A8" s="8" t="s">
        <v>33</v>
      </c>
      <c r="B8" s="10">
        <v>0</v>
      </c>
      <c r="C8" s="8" t="s">
        <v>34</v>
      </c>
      <c r="D8" s="9">
        <v>0</v>
      </c>
    </row>
    <row r="9" spans="1:4" ht="15" customHeight="1" x14ac:dyDescent="0.25">
      <c r="A9" s="8" t="s">
        <v>35</v>
      </c>
      <c r="B9" s="10">
        <v>0</v>
      </c>
      <c r="C9" s="8" t="s">
        <v>36</v>
      </c>
      <c r="D9" s="10">
        <v>0</v>
      </c>
    </row>
    <row r="10" spans="1:4" ht="15" customHeight="1" x14ac:dyDescent="0.25">
      <c r="A10" s="8" t="s">
        <v>108</v>
      </c>
      <c r="B10" s="10">
        <v>0</v>
      </c>
      <c r="C10" s="7" t="s">
        <v>38</v>
      </c>
      <c r="D10" s="10">
        <f>SUM(D7:D9)</f>
        <v>0</v>
      </c>
    </row>
    <row r="11" spans="1:4" ht="15" customHeight="1" x14ac:dyDescent="0.25">
      <c r="A11" s="8" t="s">
        <v>109</v>
      </c>
      <c r="B11" s="10">
        <v>0</v>
      </c>
      <c r="C11" s="7" t="s">
        <v>40</v>
      </c>
      <c r="D11" s="10">
        <f>D6+D10</f>
        <v>0</v>
      </c>
    </row>
    <row r="12" spans="1:4" ht="15" customHeight="1" x14ac:dyDescent="0.25">
      <c r="A12" s="7" t="s">
        <v>41</v>
      </c>
      <c r="B12" s="10">
        <f>SUM(B7:B11)</f>
        <v>9646</v>
      </c>
      <c r="C12" s="9"/>
      <c r="D12" s="9"/>
    </row>
    <row r="13" spans="1:4" ht="15" customHeight="1" x14ac:dyDescent="0.25">
      <c r="A13" s="7" t="s">
        <v>42</v>
      </c>
      <c r="B13" s="36">
        <f>B12+B6</f>
        <v>9646</v>
      </c>
      <c r="C13" s="9"/>
      <c r="D13" s="9"/>
    </row>
    <row r="14" spans="1:4" ht="15" customHeight="1" x14ac:dyDescent="0.25">
      <c r="A14" s="7" t="s">
        <v>43</v>
      </c>
      <c r="B14" s="36">
        <f>B13-D11</f>
        <v>9646</v>
      </c>
      <c r="C14" s="10"/>
      <c r="D14" s="9"/>
    </row>
    <row r="15" spans="1:4" ht="15" customHeight="1" x14ac:dyDescent="0.25">
      <c r="A15" s="7" t="s">
        <v>44</v>
      </c>
      <c r="B15" s="10">
        <v>9646</v>
      </c>
      <c r="C15" s="9"/>
      <c r="D15" s="9"/>
    </row>
    <row r="16" spans="1:4" ht="15" customHeight="1" x14ac:dyDescent="0.25">
      <c r="A16" s="7" t="s">
        <v>45</v>
      </c>
      <c r="B16" s="14">
        <f>D11/B13</f>
        <v>0</v>
      </c>
      <c r="C16" s="9"/>
      <c r="D16" s="9"/>
    </row>
    <row r="17" spans="1:4" ht="15" customHeight="1" x14ac:dyDescent="0.25">
      <c r="A17" s="5" t="s">
        <v>46</v>
      </c>
      <c r="B17" s="14">
        <f>B15/B14</f>
        <v>1</v>
      </c>
      <c r="C17" s="18"/>
      <c r="D17" s="18"/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历年报表</vt:lpstr>
      <vt:lpstr>2023年度</vt:lpstr>
      <vt:lpstr>2022年度</vt:lpstr>
      <vt:lpstr>2021年度</vt:lpstr>
      <vt:lpstr>2020年度</vt:lpstr>
      <vt:lpstr>2019年度</vt:lpstr>
      <vt:lpstr>2018年度</vt:lpstr>
      <vt:lpstr>2017年度</vt:lpstr>
      <vt:lpstr>2016年度</vt:lpstr>
      <vt:lpstr>2015年度</vt:lpstr>
      <vt:lpstr>2014年度</vt:lpstr>
      <vt:lpstr>2013年度</vt:lpstr>
      <vt:lpstr>2012年度</vt:lpstr>
      <vt:lpstr>2011年度</vt:lpstr>
      <vt:lpstr>2010年度</vt:lpstr>
      <vt:lpstr>2009年度</vt:lpstr>
      <vt:lpstr>2008年度</vt:lpstr>
      <vt:lpstr>2007年度</vt:lpstr>
      <vt:lpstr>2006年度</vt:lpstr>
      <vt:lpstr>2005年度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hdusr</dc:creator>
  <cp:lastModifiedBy>xw T</cp:lastModifiedBy>
  <dcterms:created xsi:type="dcterms:W3CDTF">2015-06-05T18:19:34Z</dcterms:created>
  <dcterms:modified xsi:type="dcterms:W3CDTF">2024-04-02T15:07:26Z</dcterms:modified>
</cp:coreProperties>
</file>