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H:\我的资料\A2我的财务\"/>
    </mc:Choice>
  </mc:AlternateContent>
  <xr:revisionPtr revIDLastSave="0" documentId="13_ncr:1_{051A0F4F-5185-40DD-855C-331625975E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3年度" sheetId="6" r:id="rId1"/>
    <sheet name="2022年度" sheetId="5" r:id="rId2"/>
    <sheet name="2021年度" sheetId="4" r:id="rId3"/>
    <sheet name="2020年度" sheetId="3" r:id="rId4"/>
    <sheet name="2019年度" sheetId="2" r:id="rId5"/>
    <sheet name="2018年度" sheetId="1" r:id="rId6"/>
  </sheets>
  <externalReferences>
    <externalReference r:id="rId7"/>
    <externalReference r:id="rId8"/>
  </externalReference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6" l="1"/>
  <c r="E4" i="6"/>
  <c r="B13" i="6"/>
  <c r="B3" i="6"/>
  <c r="B6" i="6"/>
  <c r="B5" i="6"/>
  <c r="D13" i="6" l="1"/>
  <c r="C12" i="6"/>
  <c r="B12" i="6"/>
  <c r="D12" i="6" s="1"/>
  <c r="D10" i="6"/>
  <c r="D9" i="6"/>
  <c r="C9" i="6"/>
  <c r="C14" i="6" s="1"/>
  <c r="B9" i="6"/>
  <c r="E7" i="6"/>
  <c r="D6" i="6"/>
  <c r="B16" i="6"/>
  <c r="D5" i="6"/>
  <c r="D4" i="6"/>
  <c r="E4" i="4"/>
  <c r="E4" i="5"/>
  <c r="E17" i="5"/>
  <c r="E15" i="5"/>
  <c r="E13" i="5"/>
  <c r="E12" i="5"/>
  <c r="E10" i="5"/>
  <c r="E11" i="5"/>
  <c r="E9" i="5"/>
  <c r="E7" i="5"/>
  <c r="B14" i="6" l="1"/>
  <c r="C16" i="6"/>
  <c r="D16" i="6" s="1"/>
  <c r="B8" i="6"/>
  <c r="D3" i="6"/>
  <c r="C8" i="6"/>
  <c r="C15" i="6" s="1"/>
  <c r="E6" i="6"/>
  <c r="E6" i="5"/>
  <c r="E5" i="5"/>
  <c r="B13" i="5"/>
  <c r="B9" i="5"/>
  <c r="B3" i="5"/>
  <c r="D14" i="6" l="1"/>
  <c r="E10" i="6"/>
  <c r="E11" i="6"/>
  <c r="E12" i="6"/>
  <c r="E13" i="6"/>
  <c r="B15" i="6"/>
  <c r="D8" i="6"/>
  <c r="E9" i="6"/>
  <c r="E16" i="6"/>
  <c r="E3" i="6"/>
  <c r="E17" i="6"/>
  <c r="B6" i="5"/>
  <c r="C5" i="5"/>
  <c r="E15" i="6" l="1"/>
  <c r="D15" i="6"/>
  <c r="D13" i="5"/>
  <c r="C12" i="5"/>
  <c r="B12" i="5"/>
  <c r="D12" i="5" s="1"/>
  <c r="D11" i="5"/>
  <c r="C11" i="5"/>
  <c r="D10" i="5"/>
  <c r="C9" i="5"/>
  <c r="C14" i="5" s="1"/>
  <c r="B14" i="5"/>
  <c r="C16" i="5"/>
  <c r="D6" i="5"/>
  <c r="B16" i="5"/>
  <c r="D4" i="5"/>
  <c r="C8" i="5"/>
  <c r="B13" i="4"/>
  <c r="B10" i="4"/>
  <c r="B6" i="4"/>
  <c r="E5" i="4"/>
  <c r="B5" i="4"/>
  <c r="B3" i="4"/>
  <c r="C12" i="4"/>
  <c r="C11" i="4"/>
  <c r="C10" i="4"/>
  <c r="C9" i="4"/>
  <c r="C14" i="4" s="1"/>
  <c r="C8" i="4"/>
  <c r="C6" i="4"/>
  <c r="C16" i="4" s="1"/>
  <c r="C3" i="4"/>
  <c r="D13" i="4"/>
  <c r="D12" i="4"/>
  <c r="B12" i="4"/>
  <c r="D11" i="4"/>
  <c r="B11" i="4"/>
  <c r="D10" i="4"/>
  <c r="B9" i="4"/>
  <c r="E7" i="4"/>
  <c r="D7" i="4"/>
  <c r="D5" i="4"/>
  <c r="D4" i="4"/>
  <c r="B6" i="3"/>
  <c r="B16" i="3" s="1"/>
  <c r="E5" i="3"/>
  <c r="D4" i="3"/>
  <c r="B3" i="3"/>
  <c r="D14" i="5" l="1"/>
  <c r="C15" i="5"/>
  <c r="D16" i="5"/>
  <c r="B8" i="5"/>
  <c r="E3" i="5" s="1"/>
  <c r="D3" i="5"/>
  <c r="D5" i="5"/>
  <c r="D9" i="5"/>
  <c r="B14" i="4"/>
  <c r="D14" i="4" s="1"/>
  <c r="B16" i="4"/>
  <c r="D16" i="4" s="1"/>
  <c r="C15" i="4"/>
  <c r="D3" i="4"/>
  <c r="D6" i="4"/>
  <c r="B8" i="4"/>
  <c r="D9" i="4"/>
  <c r="B7" i="1"/>
  <c r="B15" i="5" l="1"/>
  <c r="D15" i="5" s="1"/>
  <c r="D8" i="5"/>
  <c r="E16" i="5"/>
  <c r="D8" i="4"/>
  <c r="B15" i="4"/>
  <c r="E3" i="4"/>
  <c r="E16" i="4"/>
  <c r="C13" i="3"/>
  <c r="D13" i="3" s="1"/>
  <c r="C12" i="3"/>
  <c r="C11" i="3"/>
  <c r="C10" i="3"/>
  <c r="C9" i="3"/>
  <c r="C7" i="3"/>
  <c r="D7" i="3" s="1"/>
  <c r="C6" i="3"/>
  <c r="D6" i="3" s="1"/>
  <c r="C5" i="3"/>
  <c r="C3" i="3"/>
  <c r="B12" i="3"/>
  <c r="D12" i="3" s="1"/>
  <c r="B11" i="3"/>
  <c r="D11" i="3" s="1"/>
  <c r="B10" i="3"/>
  <c r="B9" i="3"/>
  <c r="D9" i="3" s="1"/>
  <c r="B8" i="3"/>
  <c r="C16" i="3" l="1"/>
  <c r="D16" i="3" s="1"/>
  <c r="D5" i="3"/>
  <c r="B14" i="3"/>
  <c r="D14" i="3" s="1"/>
  <c r="D10" i="3"/>
  <c r="E3" i="3"/>
  <c r="E16" i="3"/>
  <c r="C8" i="3"/>
  <c r="D8" i="3" s="1"/>
  <c r="D3" i="3"/>
  <c r="C14" i="3"/>
  <c r="B15" i="3"/>
  <c r="C15" i="3"/>
  <c r="B5" i="1" l="1"/>
  <c r="B3" i="1"/>
  <c r="B8" i="1" s="1"/>
  <c r="B12" i="1"/>
  <c r="B6" i="1"/>
  <c r="B7" i="2" l="1"/>
  <c r="B13" i="2" l="1"/>
  <c r="B12" i="2" l="1"/>
  <c r="B11" i="2"/>
  <c r="B10" i="2"/>
  <c r="B9" i="2"/>
  <c r="B14" i="2" s="1"/>
  <c r="B6" i="2"/>
  <c r="B5" i="2"/>
  <c r="B16" i="2" s="1"/>
  <c r="B3" i="2"/>
  <c r="C14" i="2"/>
  <c r="B14" i="1"/>
  <c r="B8" i="2" l="1"/>
  <c r="B15" i="2"/>
  <c r="B9" i="1"/>
  <c r="B13" i="1" s="1"/>
  <c r="E7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3" authorId="0" shapeId="0" xr:uid="{AD2773C4-6D24-4B0C-B14A-EF3D6648BE5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=月薪（实收）*月数+税后年终奖（上年度）+公积金缴存
注：公积金缴存对应资产负债表年度公积金余额的变化。</t>
        </r>
      </text>
    </comment>
    <comment ref="B3" authorId="0" shapeId="0" xr:uid="{7421609D-F6A4-4C82-97FC-2741B9B9C98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数据来源：2023/3 - 2024/2
工资（员工微银行）：30339,29563,</t>
        </r>
        <r>
          <rPr>
            <b/>
            <sz val="9"/>
            <color indexed="81"/>
            <rFont val="宋体"/>
            <family val="3"/>
            <charset val="134"/>
          </rPr>
          <t>28691+31676+31676+30953+28765+29765+29665+31135+28350+28442+33355+32216 = 364689</t>
        </r>
        <r>
          <rPr>
            <sz val="9"/>
            <color indexed="81"/>
            <rFont val="宋体"/>
            <family val="3"/>
            <charset val="134"/>
          </rPr>
          <t xml:space="preserve">
年终奖（个税APP，2023/3）：</t>
        </r>
        <r>
          <rPr>
            <b/>
            <sz val="9"/>
            <color indexed="81"/>
            <rFont val="宋体"/>
            <family val="3"/>
            <charset val="134"/>
          </rPr>
          <t>144000-14190</t>
        </r>
        <r>
          <rPr>
            <sz val="9"/>
            <color indexed="81"/>
            <rFont val="宋体"/>
            <family val="3"/>
            <charset val="134"/>
          </rPr>
          <t>,14400-13790
公积金（粤省事 + 资产负债表）：</t>
        </r>
        <r>
          <rPr>
            <b/>
            <sz val="9"/>
            <color indexed="81"/>
            <rFont val="宋体"/>
            <family val="3"/>
            <charset val="134"/>
          </rPr>
          <t>71043</t>
        </r>
      </text>
    </comment>
    <comment ref="E3" authorId="0" shapeId="0" xr:uid="{E8FB8D61-E86F-448B-AC8E-76B8C1011E8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工作收入的占比</t>
        </r>
      </text>
    </comment>
    <comment ref="A4" authorId="0" shapeId="0" xr:uid="{825A2DAD-44B9-4040-8830-148D031D298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数据来源于新公司估值计算的分红记录表的当年度分红合计</t>
        </r>
      </text>
    </comment>
    <comment ref="B4" authorId="0" shapeId="0" xr:uid="{3BDB0B69-1494-4FE6-B8AA-7723189B45C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数据来源：新公司估值计算/分红/年度合计值</t>
        </r>
      </text>
    </comment>
    <comment ref="E4" authorId="0" shapeId="0" xr:uid="{CEA11C9D-797F-41EA-A95D-21377CC6722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证券的平均年度收益率=（年度股息收入+证券投资收益）/证券期末余额</t>
        </r>
      </text>
    </comment>
    <comment ref="B5" authorId="0" shapeId="0" xr:uid="{8282AE00-1AC9-4582-A0D0-79D835B9C24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数据来源：微众银行
累计收益20200209: 70623
累计收益20210218: 85561
累计收益20220129：100531
累计收益20230321: 131880
累计收益20240310：157156
本期发生额 = 157156 - 131880
</t>
        </r>
      </text>
    </comment>
    <comment ref="E5" authorId="0" shapeId="0" xr:uid="{94D3118F-9AD5-4181-BEB5-47B2621E9DE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理财的平均年度收益率=年度理财收入/理财资产</t>
        </r>
      </text>
    </comment>
    <comment ref="B6" authorId="0" shapeId="0" xr:uid="{AA2CEA06-CEB4-4546-B244-CADC5F01AAA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数据来源：微信转账记录（账单/收入/转账）
20210714收到房租13200.
20220119收到房租12370.
20220718收到房租12760.
20230120收到房租13200.
20230720收到房租13200.
20240124收到房租13200.</t>
        </r>
      </text>
    </comment>
    <comment ref="E6" authorId="0" shapeId="0" xr:uid="{CA37BDDD-5DE4-4813-AF3A-8CB7D846F8B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房产的平均年度收益率=年度房产投资收益/投资性房产</t>
        </r>
      </text>
    </comment>
    <comment ref="A7" authorId="0" shapeId="0" xr:uid="{ABFC5C5B-0D9B-4B0A-A3D5-08E69E869D8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=证券投资收益+打新收益
数据来源：新公司估值计算的卖出记录表的年度盈亏</t>
        </r>
      </text>
    </comment>
    <comment ref="B7" authorId="0" shapeId="0" xr:uid="{79FB7355-C6BF-490C-AA6D-929FD7FF6F32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数据来源：招商证券交易记录</t>
        </r>
      </text>
    </comment>
    <comment ref="E7" authorId="0" shapeId="0" xr:uid="{05CE5A18-0015-4250-BC5D-516A09E5E2D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数据来源：证券投资的平均年度收益率=新公司估值计算的投资评估表的年度盈亏比</t>
        </r>
      </text>
    </comment>
    <comment ref="A10" authorId="0" shapeId="0" xr:uid="{B60A9FAA-71E5-41BC-8BC8-12CF642BDAC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2022年度开始，该项从饮食改为在线购物。
数据来源：支付宝年度支出。</t>
        </r>
      </text>
    </comment>
    <comment ref="B10" authorId="0" shapeId="0" xr:uid="{DBAD3310-833D-4565-B9B5-DBCDCB2BD97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数据来源：2023年度
支付宝年度账单(我的/账单/概览/年度)：2584</t>
        </r>
      </text>
    </comment>
    <comment ref="B12" authorId="0" shapeId="0" xr:uid="{F43BBE3A-BCFE-42EE-A6F7-AD978CB3FA8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C12" authorId="0" shapeId="0" xr:uid="{68DF656F-97E3-4579-B663-55E16C6CBEB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A13" authorId="0" shapeId="0" xr:uid="{754343BB-59D1-417A-800C-ADD067D9F50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2022年度开始，该项从其他改为微信支出，其中包括日常饮食、服装购置等等。
数据来源：微信年度支出。</t>
        </r>
      </text>
    </comment>
    <comment ref="B13" authorId="0" shapeId="0" xr:uid="{4F1215F0-7095-4177-A516-C8F8AC2CEB9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
微信支出2023年度：=2562+3113+3154+3334+5112+2271+7669+2952+5881+1883+1953+2415
其中：
5月甘肃旅游：3600
7月买iPad：5599
9月团建：2251
</t>
        </r>
      </text>
    </comment>
    <comment ref="C13" authorId="0" shapeId="0" xr:uid="{76B33A6A-3BBD-48DF-9B72-98D801A3520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
微信支出2022年度：47609
其中：
9月云南旅游：3000
8月上海出差酒店：3956（扣除）
7月团建按摩：2600</t>
        </r>
      </text>
    </comment>
    <comment ref="A15" authorId="0" shapeId="0" xr:uid="{5C8662A8-1DD6-41F1-84F3-BC8000193B2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该项净收入=年度收入-年度支出。</t>
        </r>
      </text>
    </comment>
    <comment ref="E15" authorId="0" shapeId="0" xr:uid="{941E3FB2-3ABA-4335-ACE0-BDAEE40CC34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净收入占收入的比重。</t>
        </r>
      </text>
    </comment>
    <comment ref="A16" authorId="0" shapeId="0" xr:uid="{53A028D8-19AE-4E51-A22D-7A8BF9FEE95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=年度股息收入+年度理财收入+年度房产投资收益</t>
        </r>
      </text>
    </comment>
    <comment ref="E16" authorId="0" shapeId="0" xr:uid="{04A6AFA6-5445-43B6-BFE3-D7D051945D12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被动收入的占比</t>
        </r>
      </text>
    </comment>
    <comment ref="F17" authorId="0" shapeId="0" xr:uid="{5DB55E5C-DA60-41D1-AF39-DA391C3C87E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财务自由完成度=被动收入/(年度支出*2)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3" authorId="0" shapeId="0" xr:uid="{6DE488BC-9ED1-40B6-BBA8-4FEBB34E992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=月薪（实收）*月数+税后年终奖（上年度）+公积金缴存
注：公积金缴存对应资产负债表年度公积金余额的变化。</t>
        </r>
      </text>
    </comment>
    <comment ref="B3" authorId="0" shapeId="0" xr:uid="{49835B8A-8066-4D1F-B24D-291810F8958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数据来源：交行手机银行，粤省事</t>
        </r>
      </text>
    </comment>
    <comment ref="E3" authorId="0" shapeId="0" xr:uid="{D2450504-B309-4DF6-BDAF-11B983E4EE7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工作收入的占比</t>
        </r>
      </text>
    </comment>
    <comment ref="A4" authorId="0" shapeId="0" xr:uid="{88BF027A-66A0-4C34-B4EE-4C5CD2B2788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数据来源于新公司估值计算的分红记录表的当年度分红合计</t>
        </r>
      </text>
    </comment>
    <comment ref="B4" authorId="0" shapeId="0" xr:uid="{21F29304-86A8-4644-A64F-3EF65EEDF70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数据来源：新公司估值计算/分红</t>
        </r>
      </text>
    </comment>
    <comment ref="E4" authorId="0" shapeId="0" xr:uid="{D26816E9-270F-45AB-93FA-4E6F4A676F4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证券的平均年度收益率=（年度股息收入+证券投资收益）/证券期末余额</t>
        </r>
      </text>
    </comment>
    <comment ref="B5" authorId="0" shapeId="0" xr:uid="{E399C7BF-75AC-489A-8083-896E27EED48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数据来源：微众银行
累计收益20200209: 70623
累计收益20210218: 85561
累计收益20220129：100531
累计收益20230321: 131880
本期发生额 = 累计收益20230321 - 累计收益20220129
</t>
        </r>
      </text>
    </comment>
    <comment ref="E5" authorId="0" shapeId="0" xr:uid="{CFBA6F3B-D52A-4ED2-9C58-E2CCF0BFB93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理财的平均年度收益率=年度理财收入/理财资产</t>
        </r>
      </text>
    </comment>
    <comment ref="B6" authorId="0" shapeId="0" xr:uid="{D395BD3A-C57C-4083-8551-1B9A8066BD8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数据来源：微信转账记录
20210714收到房租13200.
20220119收到房租12370.
20220718收到房租12760.
20230120收到房租13200.</t>
        </r>
      </text>
    </comment>
    <comment ref="E6" authorId="0" shapeId="0" xr:uid="{494EB12A-06C7-415D-99DA-A5262D4C8B2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房产的平均年度收益率=年度房产投资收益/投资性房产</t>
        </r>
      </text>
    </comment>
    <comment ref="A7" authorId="0" shapeId="0" xr:uid="{14164CDF-978E-43E0-92FE-634470EA6C2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=证券投资收益+打新收益
数据来源：新公司估值计算的卖出记录表的年度盈亏</t>
        </r>
      </text>
    </comment>
    <comment ref="B7" authorId="0" shapeId="0" xr:uid="{6ECAFE70-513F-4791-91FF-1289B29B7CA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数据来源：招商证券交易记录</t>
        </r>
      </text>
    </comment>
    <comment ref="E7" authorId="0" shapeId="0" xr:uid="{810FBC76-DF49-4EA0-9C66-982667D3F20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数据来源：证券投资的平均年度收益率=新公司估值计算的投资评估表的年度盈亏比</t>
        </r>
      </text>
    </comment>
    <comment ref="A10" authorId="0" shapeId="0" xr:uid="{7C4EE202-EC5B-462E-B5FA-E3A5F916CCD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2022年度开始，该项从饮食改为在线购物。
数据来源：支付宝年度支出。</t>
        </r>
      </text>
    </comment>
    <comment ref="B10" authorId="0" shapeId="0" xr:uid="{94DFAAFD-44BB-49F8-9343-262E83411D3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数据来源：20220220-20230321
支付宝年度账单(我的/账单)：6757
其中大项支出：格力空调：2669</t>
        </r>
      </text>
    </comment>
    <comment ref="B12" authorId="0" shapeId="0" xr:uid="{54B5831C-CFD4-43DA-9AF4-64C6B6A1B9A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C12" authorId="0" shapeId="0" xr:uid="{A30C3057-5A33-4BA1-9F55-DA0E4C8B529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A13" authorId="0" shapeId="0" xr:uid="{0C7BC2B4-E6C7-48E5-9E1D-D2E51E6563F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2022年度开始，该项从其他改为微信支出，其中包括日常饮食、服装购置等等。
数据来源：微信年度支出。</t>
        </r>
      </text>
    </comment>
    <comment ref="B13" authorId="0" shapeId="0" xr:uid="{C5FB10F3-30D8-4F68-B4F4-12D2118825E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
微信支出2022年度：47609
其中：
9月云南旅游：3000
8月上海出差酒店：3956（扣除）
7月团建按摩：2600
</t>
        </r>
      </text>
    </comment>
    <comment ref="A15" authorId="0" shapeId="0" xr:uid="{E3F5632E-15B7-475D-9141-1EB3E99AE8C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该项净收入=年度收入-年度支出。</t>
        </r>
      </text>
    </comment>
    <comment ref="E15" authorId="0" shapeId="0" xr:uid="{B46BC5DE-27B9-4493-9CEF-479AF35343C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净收入占收入的比重。</t>
        </r>
      </text>
    </comment>
    <comment ref="A16" authorId="0" shapeId="0" xr:uid="{F08A7D03-4DD9-41B9-B5B9-5CCC67273AD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=年度股息收入+年度理财收入+年度房产投资收益</t>
        </r>
      </text>
    </comment>
    <comment ref="E16" authorId="0" shapeId="0" xr:uid="{65F3BCE8-B387-4F69-A29D-6B25114A9FE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被动收入的占比</t>
        </r>
      </text>
    </comment>
    <comment ref="F17" authorId="0" shapeId="0" xr:uid="{331F1E7A-012F-4153-9B81-CD708C5447E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财务自由完成度=被动收入/(年度支出*2)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3" authorId="0" shapeId="0" xr:uid="{0B3DD13E-61C1-414C-A866-77C83F540EE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=月薪（实收）*月数+年终奖（上年度）+公积金缴存
注：公积金缴存对应资产负债表年度公积金余额的变化。</t>
        </r>
      </text>
    </comment>
    <comment ref="B3" authorId="0" shapeId="0" xr:uid="{F61D38F8-A480-497F-BD78-AAB9EB8E453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数据来源：交行手机银行，粤省事</t>
        </r>
      </text>
    </comment>
    <comment ref="E3" authorId="0" shapeId="0" xr:uid="{F502C9A4-5675-4358-B3BF-F6F947F8D85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工作收入的占比</t>
        </r>
      </text>
    </comment>
    <comment ref="A4" authorId="0" shapeId="0" xr:uid="{382A02F2-B06E-4B99-AF4B-1091BF1FB54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数据来源于新公司估值计算的分红记录表的当年度分红合计</t>
        </r>
      </text>
    </comment>
    <comment ref="B4" authorId="0" shapeId="0" xr:uid="{65CF1C33-2A99-43F6-A887-9BC3ECE4CAF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数据来源：新公司估值计算/分红</t>
        </r>
      </text>
    </comment>
    <comment ref="E4" authorId="0" shapeId="0" xr:uid="{FC738EC0-84B6-4A1E-9BCB-AC6EAA53F09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证券的平均年度收益率=（年度股息收入+证券投资收益）/证券期末余额</t>
        </r>
      </text>
    </comment>
    <comment ref="B5" authorId="0" shapeId="0" xr:uid="{6B4C5EB0-8667-4385-9FF4-BF9FF035C4D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数据来源：微众银行
统计周期：20220129 - 20200209
累计收益20220129: 106529
累计收益20210218: 85561
累计收益20200209: 70623
</t>
        </r>
      </text>
    </comment>
    <comment ref="C5" authorId="0" shapeId="0" xr:uid="{3424B6EF-B230-4ED1-9C84-350F448161E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统计周期：20200209 - 20210218
累计收益20200209: 70623
累计收益20210218: 85561</t>
        </r>
      </text>
    </comment>
    <comment ref="E5" authorId="0" shapeId="0" xr:uid="{63F5A09B-0CA6-4CE5-8EAA-814D07CA8C9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理财的平均年度收益率=年度理财收入/理财资产</t>
        </r>
      </text>
    </comment>
    <comment ref="B6" authorId="0" shapeId="0" xr:uid="{00F7E29F-94D2-434A-AE2F-DEAE1FB64C9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数据来源：微信转账记录
20210714收到房租13200.
20220119收到房租12370。</t>
        </r>
      </text>
    </comment>
    <comment ref="C6" authorId="0" shapeId="0" xr:uid="{3AFAE18F-D273-4252-A878-44EFCA82C72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2020年7-9月份房租。</t>
        </r>
      </text>
    </comment>
    <comment ref="A7" authorId="0" shapeId="0" xr:uid="{7F9806EB-880D-41EA-8F84-7D043D64E0A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=证券投资收益+打新收益
数据来源：新公司估值计算的卖出记录表的年度盈亏</t>
        </r>
      </text>
    </comment>
    <comment ref="B7" authorId="0" shapeId="0" xr:uid="{D9FFF05A-BF24-4498-A4ED-2B87260C693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数据来源：招商证券交易记录</t>
        </r>
      </text>
    </comment>
    <comment ref="E7" authorId="0" shapeId="0" xr:uid="{EE9E19D1-504F-41B2-83F7-6914B484261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数据来源：证券投资的平均年度收益率=新公司估值计算的投资评估表的年度盈亏比</t>
        </r>
      </text>
    </comment>
    <comment ref="B12" authorId="0" shapeId="0" xr:uid="{86F7B55E-58C8-479A-80C1-6E92B2FDD91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C12" authorId="0" shapeId="0" xr:uid="{3409AD44-A349-4985-A5D6-4BAC37973CC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B13" authorId="0" shapeId="0" xr:uid="{96BF6065-6720-4909-BD67-A02F65E2950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数据来源：支付宝年度账单
种牙：14000
洗衣机：1697
康佳32寸：838
</t>
        </r>
      </text>
    </comment>
    <comment ref="C13" authorId="0" shapeId="0" xr:uid="{B8260DB3-974A-4A57-9CAF-32C4D9CFF2A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装修尾款：4800
封闭阳台：11000
厨房隔墙：1200
美缝：1100</t>
        </r>
      </text>
    </comment>
    <comment ref="A16" authorId="0" shapeId="0" xr:uid="{63D38E24-2A35-4D8B-AA0F-E4ACFBB8BB7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=年度股息收入+年度理财收入+年度房产投资收益</t>
        </r>
      </text>
    </comment>
    <comment ref="E16" authorId="0" shapeId="0" xr:uid="{C3767D2A-6491-443A-BDB8-B709E11A9B13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被动收入的占比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3" authorId="0" shapeId="0" xr:uid="{B169BE25-3AF2-472C-8A44-011A05984C9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=月薪（实收）*月数+年终奖（上年度）+公积金缴存
注：公积金缴存对应资产负债表年度公积金余额的变化。</t>
        </r>
      </text>
    </comment>
    <comment ref="E3" authorId="0" shapeId="0" xr:uid="{D9CD3182-86C8-490C-AC67-931C0D09568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工作收入的占比</t>
        </r>
      </text>
    </comment>
    <comment ref="A4" authorId="0" shapeId="0" xr:uid="{74AFA0D6-D9C7-4F92-9B0B-87397893A9A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数据来源于新公司估值计算的分红记录表的当年度分红合计</t>
        </r>
      </text>
    </comment>
    <comment ref="B5" authorId="0" shapeId="0" xr:uid="{88ACABDB-5F16-4467-A58F-63D6624F5C2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统计周期：20200209 - 20210218
累计收益20200209: 70623
累计收益20210218: 85561</t>
        </r>
      </text>
    </comment>
    <comment ref="C5" authorId="0" shapeId="0" xr:uid="{7CAD8EEB-AA6F-45E3-AE92-30BCD27A426C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统计周期：201902-202001
累计收益20200209:70623</t>
        </r>
      </text>
    </comment>
    <comment ref="E5" authorId="0" shapeId="0" xr:uid="{288CAF88-1B60-49DA-861D-1B7848E7D29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理财的平均年度收益率=年度理财收入/理财资产</t>
        </r>
      </text>
    </comment>
    <comment ref="B6" authorId="0" shapeId="0" xr:uid="{BCD91FAF-DA56-41DB-93AA-9E9D44500129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2020年7-9月份房租。</t>
        </r>
      </text>
    </comment>
    <comment ref="C6" authorId="0" shapeId="0" xr:uid="{65ED0FE7-AB6E-4F7C-BFBB-FCD903D9FBF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从20191221开始6个月房租。</t>
        </r>
      </text>
    </comment>
    <comment ref="A7" authorId="0" shapeId="0" xr:uid="{28FADD99-B0C1-424A-A18C-F18E71162E88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=证券投资收益+打新收益
数据来源：新公司估值计算的卖出记录表的年度盈亏</t>
        </r>
      </text>
    </comment>
    <comment ref="E7" authorId="0" shapeId="0" xr:uid="{33101020-6A93-4B0F-89B0-A6D6A467188B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数据来源：证券投资的平均年度收益率=新公司估值计算的投资评估表的年度盈亏比</t>
        </r>
      </text>
    </comment>
    <comment ref="B12" authorId="0" shapeId="0" xr:uid="{D45B3462-9004-433F-BDC4-614C1F7BA63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C12" authorId="0" shapeId="0" xr:uid="{DB938081-CD54-4FC5-A02C-8D50E1DA780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B13" authorId="0" shapeId="0" xr:uid="{40D20AB7-1FDC-477E-A426-C8D202E14ED5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装修尾款：4800
封闭阳台：11000
厨房隔墙：1200
美缝：1100</t>
        </r>
      </text>
    </comment>
    <comment ref="C13" authorId="0" shapeId="0" xr:uid="{4BE010DA-A345-4CFD-9FAE-D70DA9C4BAE6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0314，HP主机3249
0701，新加坡旅游1w
0722，契税1.45w
0722，空调1600
0929，燃气管改管2800
1026，垃圾清运费1345
1026，装修35275
0209，软装54567
0209，主材18062</t>
        </r>
      </text>
    </comment>
    <comment ref="A16" authorId="0" shapeId="0" xr:uid="{F168DCD7-49F9-4B33-973E-311617F63E47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=年度股息收入+年度理财收入+年度房产投资收益</t>
        </r>
      </text>
    </comment>
    <comment ref="E16" authorId="0" shapeId="0" xr:uid="{CC6CAF29-3CD5-4862-9096-C75FE40F6761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被动收入的占比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A3" authorId="0" shapeId="0" xr:uid="{00BD5E69-06C8-46DE-A240-5C96E81A6B2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=月薪*月数+年终奖</t>
        </r>
      </text>
    </comment>
    <comment ref="B5" authorId="0" shapeId="0" xr:uid="{863E4A5D-9AB1-4D01-8752-49A02787B1EF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统计周期：201902-202001
累计收益20200209:70623</t>
        </r>
      </text>
    </comment>
    <comment ref="B6" authorId="0" shapeId="0" xr:uid="{D6AFECA2-D10B-4496-9696-316CEC0A4A5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从20191221开始6个月房租。</t>
        </r>
      </text>
    </comment>
    <comment ref="A7" authorId="0" shapeId="0" xr:uid="{D80F6478-1B67-40CA-8C99-A36FD2F71DB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=证券投资收益+打新收益</t>
        </r>
      </text>
    </comment>
    <comment ref="B12" authorId="0" shapeId="0" xr:uid="{AF25817F-2EC1-4D23-BF4A-0CBCD81E11A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=深圳房贷+成都房贷</t>
        </r>
      </text>
    </comment>
    <comment ref="B13" authorId="0" shapeId="0" xr:uid="{C24BF544-40E3-48A6-8299-0C091A506EBD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0314，HP主机3249
0701，新加坡旅游1w
0722，契税1.45w
0722，空调1600
0929，燃气管改管2800
1026，垃圾清运费1345
1026，装修35275
0209，软装54567
0209，主材18062</t>
        </r>
      </text>
    </comment>
    <comment ref="A16" authorId="0" shapeId="0" xr:uid="{7DF44831-BB71-40FB-83BA-3B9EFB91A09E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=年度股息收入+年度理财收入+年度房产投资收益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</author>
  </authors>
  <commentList>
    <comment ref="B3" authorId="0" shapeId="0" xr:uid="{36B1B52E-8E0A-40EA-958F-EB3A9CD58744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=月薪*月数+年终奖+劳动补偿</t>
        </r>
      </text>
    </comment>
    <comment ref="A7" authorId="0" shapeId="0" xr:uid="{D7679211-1804-4D24-9771-DECFA0E7C56A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=证券投资收益+打新收益</t>
        </r>
      </text>
    </comment>
    <comment ref="B12" authorId="0" shapeId="0" xr:uid="{A564F2F7-F859-4616-82A9-94A437A0BB1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成都+深圳月供</t>
        </r>
      </text>
    </comment>
    <comment ref="B13" authorId="0" shapeId="0" xr:uid="{1E92FB86-E44A-49BE-8738-39BFB87E2DC0}">
      <text>
        <r>
          <rPr>
            <b/>
            <sz val="9"/>
            <color indexed="81"/>
            <rFont val="宋体"/>
            <family val="3"/>
            <charset val="134"/>
          </rPr>
          <t>admin:</t>
        </r>
        <r>
          <rPr>
            <sz val="9"/>
            <color indexed="81"/>
            <rFont val="宋体"/>
            <family val="3"/>
            <charset val="134"/>
          </rPr>
          <t xml:space="preserve">
0604，泰国旅游9706
0330，南京2356
全年，信用卡41481
</t>
        </r>
      </text>
    </comment>
  </commentList>
</comments>
</file>

<file path=xl/sharedStrings.xml><?xml version="1.0" encoding="utf-8"?>
<sst xmlns="http://schemas.openxmlformats.org/spreadsheetml/2006/main" count="126" uniqueCount="39">
  <si>
    <t>工作收入</t>
    <phoneticPr fontId="1" type="noConversion"/>
  </si>
  <si>
    <t>股息收入</t>
    <phoneticPr fontId="1" type="noConversion"/>
  </si>
  <si>
    <t>理财收入</t>
    <phoneticPr fontId="1" type="noConversion"/>
  </si>
  <si>
    <t>房产投资收益</t>
    <phoneticPr fontId="1" type="noConversion"/>
  </si>
  <si>
    <t>证券投资收益</t>
    <phoneticPr fontId="1" type="noConversion"/>
  </si>
  <si>
    <t>房租水电</t>
    <phoneticPr fontId="1" type="noConversion"/>
  </si>
  <si>
    <t>饮食</t>
    <phoneticPr fontId="1" type="noConversion"/>
  </si>
  <si>
    <t>服装购置</t>
    <phoneticPr fontId="1" type="noConversion"/>
  </si>
  <si>
    <t>其他</t>
    <phoneticPr fontId="1" type="noConversion"/>
  </si>
  <si>
    <t>日期: 20190211</t>
    <phoneticPr fontId="1" type="noConversion"/>
  </si>
  <si>
    <t>本期发生额</t>
    <phoneticPr fontId="1" type="noConversion"/>
  </si>
  <si>
    <t>一、收入合计</t>
    <phoneticPr fontId="1" type="noConversion"/>
  </si>
  <si>
    <t>二、支出合计</t>
    <phoneticPr fontId="1" type="noConversion"/>
  </si>
  <si>
    <t>项目</t>
    <phoneticPr fontId="1" type="noConversion"/>
  </si>
  <si>
    <t>三、净收入</t>
    <phoneticPr fontId="1" type="noConversion"/>
  </si>
  <si>
    <t>上期发生额</t>
    <phoneticPr fontId="1" type="noConversion"/>
  </si>
  <si>
    <t>四、被动收入</t>
    <phoneticPr fontId="1" type="noConversion"/>
  </si>
  <si>
    <t>房贷支出</t>
    <phoneticPr fontId="1" type="noConversion"/>
  </si>
  <si>
    <t>2019年度 20200209</t>
    <phoneticPr fontId="1" type="noConversion"/>
  </si>
  <si>
    <t>其他支出</t>
    <phoneticPr fontId="1" type="noConversion"/>
  </si>
  <si>
    <t>同比增减%</t>
    <phoneticPr fontId="1" type="noConversion"/>
  </si>
  <si>
    <t>2020年度</t>
    <phoneticPr fontId="1" type="noConversion"/>
  </si>
  <si>
    <t>2021年度 20220129</t>
    <phoneticPr fontId="1" type="noConversion"/>
  </si>
  <si>
    <t>2022年度 20220321</t>
    <phoneticPr fontId="1" type="noConversion"/>
  </si>
  <si>
    <t>在线购物</t>
    <phoneticPr fontId="1" type="noConversion"/>
  </si>
  <si>
    <t>微信支出</t>
    <phoneticPr fontId="1" type="noConversion"/>
  </si>
  <si>
    <t>备注</t>
    <phoneticPr fontId="1" type="noConversion"/>
  </si>
  <si>
    <t>2022年度没有证券卖出记录</t>
    <phoneticPr fontId="1" type="noConversion"/>
  </si>
  <si>
    <t>另外，按被动收入计算，财务自由完成度20%。完成度100%对应被动收入为34W。</t>
    <phoneticPr fontId="1" type="noConversion"/>
  </si>
  <si>
    <t>被动收入同比增长41.5%。问题：占收入的比重不高，同比上升2个点。</t>
    <phoneticPr fontId="1" type="noConversion"/>
  </si>
  <si>
    <t>理财收益率同比上升0.8%。</t>
    <phoneticPr fontId="1" type="noConversion"/>
  </si>
  <si>
    <t>股息收入来源于浙江美大分红，股息收益率同比上升2.8%。</t>
    <phoneticPr fontId="1" type="noConversion"/>
  </si>
  <si>
    <t>工作收入同比上升11.2%，继续稳定增长</t>
    <phoneticPr fontId="1" type="noConversion"/>
  </si>
  <si>
    <t>2023年度 20240310</t>
    <phoneticPr fontId="1" type="noConversion"/>
  </si>
  <si>
    <t>工作收入同比上升16%，继续稳定增长。</t>
    <phoneticPr fontId="1" type="noConversion"/>
  </si>
  <si>
    <t>股息收入来源于浙江美大分红，股息收益同比上升2.7%。</t>
    <phoneticPr fontId="1" type="noConversion"/>
  </si>
  <si>
    <t>理财收益率同比下降19.4%。</t>
    <phoneticPr fontId="1" type="noConversion"/>
  </si>
  <si>
    <t>2023年度没有证券卖出记录</t>
    <phoneticPr fontId="1" type="noConversion"/>
  </si>
  <si>
    <t>被动收入同比下降7.4%。问题：占收入的比重不高，同比上升2个点。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</si>
</sst>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%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76" fontId="2" fillId="0" borderId="0" xfId="0" applyNumberFormat="1" applyFont="1"/>
    <xf numFmtId="176" fontId="0" fillId="0" borderId="0" xfId="0" applyNumberFormat="1"/>
    <xf numFmtId="0" fontId="5" fillId="0" borderId="0" xfId="0" applyFont="1"/>
    <xf numFmtId="176" fontId="0" fillId="2" borderId="0" xfId="0" applyNumberFormat="1" applyFill="1"/>
    <xf numFmtId="177" fontId="2" fillId="0" borderId="0" xfId="0" applyNumberFormat="1" applyFont="1"/>
    <xf numFmtId="177" fontId="0" fillId="0" borderId="0" xfId="0" applyNumberFormat="1"/>
    <xf numFmtId="177" fontId="0" fillId="2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&#25105;&#30340;&#36164;&#26009;\A2&#25105;&#30340;&#36130;&#21153;\&#25105;&#30340;&#36164;&#20135;&#36127;&#20538;&#34920;.xlsx" TargetMode="External"/><Relationship Id="rId1" Type="http://schemas.openxmlformats.org/officeDocument/2006/relationships/externalLinkPath" Target="&#25105;&#30340;&#36164;&#20135;&#36127;&#20538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&#25105;&#30340;&#36164;&#26009;\A5&#25105;&#30340;&#25237;&#36164;&#21073;-&#35777;&#21048;&#25237;&#36164;\&#26032;%20&#20844;&#21496;&#20272;&#20540;&#35745;&#31639;.xlsx" TargetMode="External"/><Relationship Id="rId1" Type="http://schemas.openxmlformats.org/officeDocument/2006/relationships/externalLinkPath" Target="/&#25105;&#30340;&#36164;&#26009;/A5&#25105;&#30340;&#25237;&#36164;&#21073;-&#35777;&#21048;&#25237;&#36164;/&#26032;%20&#20844;&#21496;&#20272;&#20540;&#35745;&#3163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历年报表"/>
      <sheetName val="2023年度"/>
      <sheetName val="2022年度"/>
      <sheetName val="2021年度"/>
      <sheetName val="2020年度"/>
      <sheetName val="2019年度"/>
      <sheetName val="2018年度"/>
      <sheetName val="2017年度"/>
      <sheetName val="2016年度"/>
      <sheetName val="2015年度"/>
      <sheetName val="2014年度"/>
      <sheetName val="2013年度"/>
      <sheetName val="2012年度"/>
      <sheetName val="2011年度"/>
      <sheetName val="2010年度"/>
      <sheetName val="2009年度"/>
      <sheetName val="2008年度"/>
      <sheetName val="2007年度"/>
      <sheetName val="2006年度"/>
      <sheetName val="2005年度"/>
    </sheetNames>
    <sheetDataSet>
      <sheetData sheetId="0" refreshError="1"/>
      <sheetData sheetId="1">
        <row r="9">
          <cell r="B9">
            <v>495636.95593220333</v>
          </cell>
        </row>
        <row r="10">
          <cell r="B10">
            <v>888388</v>
          </cell>
        </row>
      </sheetData>
      <sheetData sheetId="2">
        <row r="4">
          <cell r="B4">
            <v>1060000</v>
          </cell>
        </row>
        <row r="9">
          <cell r="B9">
            <v>280511</v>
          </cell>
        </row>
        <row r="10">
          <cell r="B10">
            <v>907641</v>
          </cell>
        </row>
      </sheetData>
      <sheetData sheetId="3">
        <row r="9">
          <cell r="B9">
            <v>169455</v>
          </cell>
        </row>
        <row r="10">
          <cell r="B10">
            <v>781229</v>
          </cell>
        </row>
      </sheetData>
      <sheetData sheetId="4">
        <row r="10">
          <cell r="B10">
            <v>633437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买入记录"/>
      <sheetName val="卖出记录"/>
      <sheetName val="分红记录"/>
      <sheetName val="持仓"/>
      <sheetName val="投资评估"/>
    </sheetNames>
    <sheetDataSet>
      <sheetData sheetId="0"/>
      <sheetData sheetId="1"/>
      <sheetData sheetId="2"/>
      <sheetData sheetId="3"/>
      <sheetData sheetId="4">
        <row r="4">
          <cell r="E4">
            <v>-0.29153245536880212</v>
          </cell>
        </row>
        <row r="5">
          <cell r="E5">
            <v>0.11644833601979127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B9813-19C9-4E56-BC43-5ACFB5E418BB}">
  <dimension ref="A1:G17"/>
  <sheetViews>
    <sheetView tabSelected="1" workbookViewId="0">
      <selection activeCell="F11" sqref="F11"/>
    </sheetView>
  </sheetViews>
  <sheetFormatPr defaultRowHeight="18" customHeight="1" x14ac:dyDescent="0.25"/>
  <cols>
    <col min="1" max="1" width="20.33203125" bestFit="1" customWidth="1"/>
    <col min="2" max="3" width="11.6640625" bestFit="1" customWidth="1"/>
    <col min="4" max="4" width="10.5546875" bestFit="1" customWidth="1"/>
    <col min="5" max="5" width="7" bestFit="1" customWidth="1"/>
    <col min="6" max="6" width="71.77734375" bestFit="1" customWidth="1"/>
  </cols>
  <sheetData>
    <row r="1" spans="1:7" ht="18" customHeight="1" x14ac:dyDescent="0.25">
      <c r="A1" s="1" t="s">
        <v>33</v>
      </c>
      <c r="B1" s="3"/>
      <c r="C1" s="3"/>
    </row>
    <row r="2" spans="1:7" ht="18" customHeight="1" x14ac:dyDescent="0.25">
      <c r="A2" s="1" t="s">
        <v>13</v>
      </c>
      <c r="B2" s="2" t="s">
        <v>10</v>
      </c>
      <c r="C2" s="2" t="s">
        <v>15</v>
      </c>
      <c r="D2" s="6" t="s">
        <v>20</v>
      </c>
      <c r="F2" s="6" t="s">
        <v>26</v>
      </c>
    </row>
    <row r="3" spans="1:7" ht="18" customHeight="1" x14ac:dyDescent="0.25">
      <c r="A3" s="4" t="s">
        <v>0</v>
      </c>
      <c r="B3" s="5">
        <f>364689+129810+71043</f>
        <v>565542</v>
      </c>
      <c r="C3" s="3">
        <v>487368</v>
      </c>
      <c r="D3" s="7">
        <f t="shared" ref="D3:D16" si="0">B3/C3-1</f>
        <v>0.16040035455754165</v>
      </c>
      <c r="E3" s="7">
        <f>B3/B8</f>
        <v>0.89628864214827042</v>
      </c>
      <c r="F3" t="s">
        <v>34</v>
      </c>
      <c r="G3">
        <v>113210</v>
      </c>
    </row>
    <row r="4" spans="1:7" ht="18" customHeight="1" x14ac:dyDescent="0.25">
      <c r="A4" s="4" t="s">
        <v>1</v>
      </c>
      <c r="B4" s="5">
        <v>13764</v>
      </c>
      <c r="C4" s="3">
        <v>13398</v>
      </c>
      <c r="D4" s="7">
        <f t="shared" si="0"/>
        <v>2.7317510076130702E-2</v>
      </c>
      <c r="E4" s="8">
        <f>B4/'[1]2023年度'!$B$9</f>
        <v>2.777032631497869E-2</v>
      </c>
      <c r="F4" t="s">
        <v>35</v>
      </c>
    </row>
    <row r="5" spans="1:7" ht="18" customHeight="1" x14ac:dyDescent="0.25">
      <c r="A5" s="4" t="s">
        <v>2</v>
      </c>
      <c r="B5" s="5">
        <f xml:space="preserve"> 157156 - 131880</f>
        <v>25276</v>
      </c>
      <c r="C5" s="3">
        <v>31348</v>
      </c>
      <c r="D5" s="7">
        <f t="shared" si="0"/>
        <v>-0.1936965675641189</v>
      </c>
      <c r="E5" s="8">
        <f>B5/'[1]2023年度'!$B$10</f>
        <v>2.845153243852911E-2</v>
      </c>
      <c r="F5" t="s">
        <v>36</v>
      </c>
    </row>
    <row r="6" spans="1:7" ht="18" customHeight="1" x14ac:dyDescent="0.25">
      <c r="A6" s="4" t="s">
        <v>3</v>
      </c>
      <c r="B6" s="5">
        <f>13200+13200</f>
        <v>26400</v>
      </c>
      <c r="C6" s="3">
        <v>25960</v>
      </c>
      <c r="D6" s="7">
        <f t="shared" si="0"/>
        <v>1.6949152542372836E-2</v>
      </c>
      <c r="E6" s="8">
        <f>B6/'[1]2022年度'!$B$4</f>
        <v>2.4905660377358491E-2</v>
      </c>
    </row>
    <row r="7" spans="1:7" ht="18" customHeight="1" x14ac:dyDescent="0.25">
      <c r="A7" s="4" t="s">
        <v>4</v>
      </c>
      <c r="B7" s="5">
        <v>0</v>
      </c>
      <c r="C7" s="3">
        <v>0</v>
      </c>
      <c r="D7" s="7">
        <v>0</v>
      </c>
      <c r="E7" s="8">
        <f>[2]投资评估!$E$4</f>
        <v>-0.29153245536880212</v>
      </c>
      <c r="F7" t="s">
        <v>37</v>
      </c>
    </row>
    <row r="8" spans="1:7" ht="18" customHeight="1" x14ac:dyDescent="0.25">
      <c r="A8" s="1" t="s">
        <v>11</v>
      </c>
      <c r="B8" s="2">
        <f>SUM(B3:B7)</f>
        <v>630982</v>
      </c>
      <c r="C8" s="2">
        <f>SUM(C3:C7)</f>
        <v>558074</v>
      </c>
      <c r="D8" s="6">
        <f t="shared" si="0"/>
        <v>0.13064217290180147</v>
      </c>
    </row>
    <row r="9" spans="1:7" ht="18" customHeight="1" x14ac:dyDescent="0.25">
      <c r="A9" s="4" t="s">
        <v>5</v>
      </c>
      <c r="B9" s="3">
        <f>3500*12</f>
        <v>42000</v>
      </c>
      <c r="C9" s="3">
        <f>3500*12</f>
        <v>42000</v>
      </c>
      <c r="D9" s="7">
        <f t="shared" si="0"/>
        <v>0</v>
      </c>
      <c r="E9" s="8">
        <f>B9/$B$14</f>
        <v>0.25633044656425658</v>
      </c>
    </row>
    <row r="10" spans="1:7" ht="18" customHeight="1" x14ac:dyDescent="0.25">
      <c r="A10" s="4" t="s">
        <v>24</v>
      </c>
      <c r="B10" s="5">
        <v>2584</v>
      </c>
      <c r="C10" s="3">
        <v>6757</v>
      </c>
      <c r="D10" s="7">
        <f t="shared" si="0"/>
        <v>-0.6175817670563859</v>
      </c>
      <c r="E10" s="8">
        <f t="shared" ref="E10:E11" si="1">B10/$B$14</f>
        <v>1.5770425569572356E-2</v>
      </c>
    </row>
    <row r="11" spans="1:7" ht="18" customHeight="1" x14ac:dyDescent="0.25">
      <c r="A11" s="4" t="s">
        <v>7</v>
      </c>
      <c r="B11" s="3">
        <v>0</v>
      </c>
      <c r="C11" s="3">
        <v>0</v>
      </c>
      <c r="D11" s="7">
        <v>0</v>
      </c>
      <c r="E11" s="8">
        <f t="shared" si="1"/>
        <v>0</v>
      </c>
    </row>
    <row r="12" spans="1:7" ht="18" customHeight="1" x14ac:dyDescent="0.25">
      <c r="A12" s="4" t="s">
        <v>17</v>
      </c>
      <c r="B12" s="3">
        <f>(1538+2176)*12+2700*12</f>
        <v>76968</v>
      </c>
      <c r="C12" s="3">
        <f>(1538+2176)*12+2700*12</f>
        <v>76968</v>
      </c>
      <c r="D12" s="7">
        <f t="shared" si="0"/>
        <v>0</v>
      </c>
      <c r="E12" s="8">
        <f>B12/$B$14</f>
        <v>0.46974385264661184</v>
      </c>
    </row>
    <row r="13" spans="1:7" ht="18" customHeight="1" x14ac:dyDescent="0.25">
      <c r="A13" s="4" t="s">
        <v>25</v>
      </c>
      <c r="B13" s="5">
        <f>2562+3113+3154+3334+5112+2271+7669+2952+5881+1883+1953+2415</f>
        <v>42299</v>
      </c>
      <c r="C13" s="3">
        <v>50410</v>
      </c>
      <c r="D13" s="7">
        <f t="shared" si="0"/>
        <v>-0.16090061495734975</v>
      </c>
      <c r="E13" s="8">
        <f>B13/$B$14</f>
        <v>0.25815527521955922</v>
      </c>
    </row>
    <row r="14" spans="1:7" ht="18" customHeight="1" x14ac:dyDescent="0.25">
      <c r="A14" s="1" t="s">
        <v>12</v>
      </c>
      <c r="B14" s="2">
        <f>SUM(B9:B13)</f>
        <v>163851</v>
      </c>
      <c r="C14" s="2">
        <f>SUM(C9:C13)</f>
        <v>176135</v>
      </c>
      <c r="D14" s="6">
        <f t="shared" si="0"/>
        <v>-6.9741959292588085E-2</v>
      </c>
    </row>
    <row r="15" spans="1:7" ht="18" customHeight="1" x14ac:dyDescent="0.25">
      <c r="A15" s="1" t="s">
        <v>14</v>
      </c>
      <c r="B15" s="2">
        <f>B8-B14</f>
        <v>467131</v>
      </c>
      <c r="C15" s="2">
        <f>C8-C14</f>
        <v>381939</v>
      </c>
      <c r="D15" s="6">
        <f t="shared" si="0"/>
        <v>0.22305132494979563</v>
      </c>
      <c r="E15" s="8">
        <f>B15/B8</f>
        <v>0.74032381272365932</v>
      </c>
    </row>
    <row r="16" spans="1:7" ht="18" customHeight="1" x14ac:dyDescent="0.25">
      <c r="A16" s="1" t="s">
        <v>16</v>
      </c>
      <c r="B16" s="2">
        <f>SUM(B4:B7)</f>
        <v>65440</v>
      </c>
      <c r="C16" s="2">
        <f>SUM(C4:C7)</f>
        <v>70706</v>
      </c>
      <c r="D16" s="6">
        <f t="shared" si="0"/>
        <v>-7.447741351511894E-2</v>
      </c>
      <c r="E16" s="8">
        <f>B16/B8</f>
        <v>0.10371135785172952</v>
      </c>
      <c r="F16" t="s">
        <v>38</v>
      </c>
    </row>
    <row r="17" spans="5:6" ht="18" customHeight="1" x14ac:dyDescent="0.25">
      <c r="E17" s="8">
        <f>B16/(B14*2)</f>
        <v>0.19969362408529701</v>
      </c>
      <c r="F17" t="s">
        <v>28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C97B8-B290-4ECC-AF22-E4DBC23ED53A}">
  <dimension ref="A1:F17"/>
  <sheetViews>
    <sheetView workbookViewId="0">
      <selection activeCell="B3" sqref="B3"/>
    </sheetView>
  </sheetViews>
  <sheetFormatPr defaultRowHeight="18" customHeight="1" x14ac:dyDescent="0.25"/>
  <cols>
    <col min="1" max="1" width="20.33203125" bestFit="1" customWidth="1"/>
    <col min="2" max="3" width="11.6640625" bestFit="1" customWidth="1"/>
    <col min="4" max="4" width="10.5546875" bestFit="1" customWidth="1"/>
    <col min="5" max="5" width="7" bestFit="1" customWidth="1"/>
    <col min="6" max="6" width="71.77734375" bestFit="1" customWidth="1"/>
  </cols>
  <sheetData>
    <row r="1" spans="1:6" ht="18" customHeight="1" x14ac:dyDescent="0.25">
      <c r="A1" s="1" t="s">
        <v>23</v>
      </c>
      <c r="B1" s="3"/>
      <c r="C1" s="3"/>
    </row>
    <row r="2" spans="1:6" ht="18" customHeight="1" x14ac:dyDescent="0.25">
      <c r="A2" s="1" t="s">
        <v>13</v>
      </c>
      <c r="B2" s="2" t="s">
        <v>10</v>
      </c>
      <c r="C2" s="2" t="s">
        <v>15</v>
      </c>
      <c r="D2" s="6" t="s">
        <v>20</v>
      </c>
      <c r="F2" s="6" t="s">
        <v>26</v>
      </c>
    </row>
    <row r="3" spans="1:6" ht="18" customHeight="1" x14ac:dyDescent="0.25">
      <c r="A3" s="4" t="s">
        <v>0</v>
      </c>
      <c r="B3" s="5">
        <f>328000+90210+69158</f>
        <v>487368</v>
      </c>
      <c r="C3" s="3">
        <v>438406</v>
      </c>
      <c r="D3" s="7">
        <f t="shared" ref="D3:D16" si="0">B3/C3-1</f>
        <v>0.11168186566789684</v>
      </c>
      <c r="E3" s="7">
        <f>B3/B8</f>
        <v>0.87330354039070091</v>
      </c>
      <c r="F3" t="s">
        <v>32</v>
      </c>
    </row>
    <row r="4" spans="1:6" ht="18" customHeight="1" x14ac:dyDescent="0.25">
      <c r="A4" s="4" t="s">
        <v>1</v>
      </c>
      <c r="B4" s="5">
        <v>13398</v>
      </c>
      <c r="C4" s="3">
        <v>3420</v>
      </c>
      <c r="D4" s="7">
        <f t="shared" si="0"/>
        <v>2.9175438596491228</v>
      </c>
      <c r="E4" s="8">
        <f>B4/'[1]2022年度'!$B$9</f>
        <v>4.7762832830085096E-2</v>
      </c>
      <c r="F4" t="s">
        <v>31</v>
      </c>
    </row>
    <row r="5" spans="1:6" ht="18" customHeight="1" x14ac:dyDescent="0.25">
      <c r="A5" s="4" t="s">
        <v>2</v>
      </c>
      <c r="B5" s="5">
        <v>31348</v>
      </c>
      <c r="C5" s="3">
        <f>106529-85561</f>
        <v>20968</v>
      </c>
      <c r="D5" s="7">
        <f t="shared" si="0"/>
        <v>0.49504006104540244</v>
      </c>
      <c r="E5" s="8">
        <f>B5/'[1]2022年度'!$B$10</f>
        <v>3.4537884471944301E-2</v>
      </c>
      <c r="F5" t="s">
        <v>30</v>
      </c>
    </row>
    <row r="6" spans="1:6" ht="18" customHeight="1" x14ac:dyDescent="0.25">
      <c r="A6" s="4" t="s">
        <v>3</v>
      </c>
      <c r="B6" s="5">
        <f>13200+12760</f>
        <v>25960</v>
      </c>
      <c r="C6" s="3">
        <v>25570</v>
      </c>
      <c r="D6" s="7">
        <f t="shared" si="0"/>
        <v>1.5252248728979234E-2</v>
      </c>
      <c r="E6" s="8">
        <f>B6/'[1]2022年度'!$B$4</f>
        <v>2.4490566037735848E-2</v>
      </c>
    </row>
    <row r="7" spans="1:6" ht="18" customHeight="1" x14ac:dyDescent="0.25">
      <c r="A7" s="4" t="s">
        <v>4</v>
      </c>
      <c r="B7" s="5">
        <v>0</v>
      </c>
      <c r="C7" s="3">
        <v>0</v>
      </c>
      <c r="D7" s="7">
        <v>0</v>
      </c>
      <c r="E7" s="8">
        <f>[2]投资评估!$E$4</f>
        <v>-0.29153245536880212</v>
      </c>
      <c r="F7" t="s">
        <v>27</v>
      </c>
    </row>
    <row r="8" spans="1:6" ht="18" customHeight="1" x14ac:dyDescent="0.25">
      <c r="A8" s="1" t="s">
        <v>11</v>
      </c>
      <c r="B8" s="2">
        <f>SUM(B3:B7)</f>
        <v>558074</v>
      </c>
      <c r="C8" s="2">
        <f>SUM(C3:C7)</f>
        <v>488364</v>
      </c>
      <c r="D8" s="6">
        <f t="shared" si="0"/>
        <v>0.14274188924654552</v>
      </c>
    </row>
    <row r="9" spans="1:6" ht="18" customHeight="1" x14ac:dyDescent="0.25">
      <c r="A9" s="4" t="s">
        <v>5</v>
      </c>
      <c r="B9" s="3">
        <f>3500*12</f>
        <v>42000</v>
      </c>
      <c r="C9" s="3">
        <f>3500*12</f>
        <v>42000</v>
      </c>
      <c r="D9" s="7">
        <f t="shared" si="0"/>
        <v>0</v>
      </c>
      <c r="E9" s="8">
        <f>B9/$B$14</f>
        <v>0.23845345899452125</v>
      </c>
    </row>
    <row r="10" spans="1:6" ht="18" customHeight="1" x14ac:dyDescent="0.25">
      <c r="A10" s="4" t="s">
        <v>24</v>
      </c>
      <c r="B10" s="5">
        <v>6757</v>
      </c>
      <c r="C10" s="3">
        <v>16200</v>
      </c>
      <c r="D10" s="7">
        <f t="shared" si="0"/>
        <v>-0.58290123456790122</v>
      </c>
      <c r="E10" s="8">
        <f t="shared" ref="E10:E11" si="1">B10/$B$14</f>
        <v>3.8362619581570952E-2</v>
      </c>
    </row>
    <row r="11" spans="1:6" ht="18" customHeight="1" x14ac:dyDescent="0.25">
      <c r="A11" s="4" t="s">
        <v>7</v>
      </c>
      <c r="B11" s="3">
        <v>0</v>
      </c>
      <c r="C11" s="3">
        <f>2000</f>
        <v>2000</v>
      </c>
      <c r="D11" s="7">
        <f t="shared" si="0"/>
        <v>-1</v>
      </c>
      <c r="E11" s="8">
        <f t="shared" si="1"/>
        <v>0</v>
      </c>
    </row>
    <row r="12" spans="1:6" ht="18" customHeight="1" x14ac:dyDescent="0.25">
      <c r="A12" s="4" t="s">
        <v>17</v>
      </c>
      <c r="B12" s="3">
        <f>(1538+2176)*12+2700*12</f>
        <v>76968</v>
      </c>
      <c r="C12" s="3">
        <f>(1538+2176)*12+2700*12</f>
        <v>76968</v>
      </c>
      <c r="D12" s="7">
        <f t="shared" si="0"/>
        <v>0</v>
      </c>
      <c r="E12" s="8">
        <f>B12/$B$14</f>
        <v>0.43698299599738838</v>
      </c>
    </row>
    <row r="13" spans="1:6" ht="18" customHeight="1" x14ac:dyDescent="0.25">
      <c r="A13" s="4" t="s">
        <v>25</v>
      </c>
      <c r="B13" s="5">
        <f>6757+47609-3956</f>
        <v>50410</v>
      </c>
      <c r="C13" s="3">
        <v>20241</v>
      </c>
      <c r="D13" s="7">
        <f t="shared" si="0"/>
        <v>1.4904896003161898</v>
      </c>
      <c r="E13" s="8">
        <f>B13/$B$14</f>
        <v>0.28620092542651943</v>
      </c>
    </row>
    <row r="14" spans="1:6" ht="18" customHeight="1" x14ac:dyDescent="0.25">
      <c r="A14" s="1" t="s">
        <v>12</v>
      </c>
      <c r="B14" s="2">
        <f>SUM(B9:B13)</f>
        <v>176135</v>
      </c>
      <c r="C14" s="2">
        <f>SUM(C9:C13)</f>
        <v>157409</v>
      </c>
      <c r="D14" s="6">
        <f t="shared" si="0"/>
        <v>0.11896397283509841</v>
      </c>
    </row>
    <row r="15" spans="1:6" ht="18" customHeight="1" x14ac:dyDescent="0.25">
      <c r="A15" s="1" t="s">
        <v>14</v>
      </c>
      <c r="B15" s="2">
        <f>B8-B14</f>
        <v>381939</v>
      </c>
      <c r="C15" s="2">
        <f>C8-C14</f>
        <v>330955</v>
      </c>
      <c r="D15" s="6">
        <f t="shared" si="0"/>
        <v>0.15405115499085986</v>
      </c>
      <c r="E15" s="8">
        <f>B15/B8</f>
        <v>0.68438773352637827</v>
      </c>
    </row>
    <row r="16" spans="1:6" ht="18" customHeight="1" x14ac:dyDescent="0.25">
      <c r="A16" s="1" t="s">
        <v>16</v>
      </c>
      <c r="B16" s="2">
        <f>SUM(B4:B7)</f>
        <v>70706</v>
      </c>
      <c r="C16" s="2">
        <f>SUM(C4:C7)</f>
        <v>49958</v>
      </c>
      <c r="D16" s="6">
        <f t="shared" si="0"/>
        <v>0.41530885944193119</v>
      </c>
      <c r="E16" s="8">
        <f>B16/B8</f>
        <v>0.12669645960929912</v>
      </c>
      <c r="F16" t="s">
        <v>29</v>
      </c>
    </row>
    <row r="17" spans="5:6" ht="18" customHeight="1" x14ac:dyDescent="0.25">
      <c r="E17" s="8">
        <f>B16/(B14*2)</f>
        <v>0.20071536037698356</v>
      </c>
      <c r="F17" t="s">
        <v>28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8FD1D-011A-4948-9E40-F39F5FD2089C}">
  <dimension ref="A1:E16"/>
  <sheetViews>
    <sheetView workbookViewId="0">
      <selection activeCell="B16" sqref="B16"/>
    </sheetView>
  </sheetViews>
  <sheetFormatPr defaultRowHeight="18" customHeight="1" x14ac:dyDescent="0.25"/>
  <cols>
    <col min="1" max="1" width="14.33203125" bestFit="1" customWidth="1"/>
    <col min="2" max="3" width="11.6640625" bestFit="1" customWidth="1"/>
    <col min="4" max="4" width="10.5546875" bestFit="1" customWidth="1"/>
  </cols>
  <sheetData>
    <row r="1" spans="1:5" ht="18" customHeight="1" x14ac:dyDescent="0.25">
      <c r="A1" s="1" t="s">
        <v>22</v>
      </c>
      <c r="B1" s="3"/>
      <c r="C1" s="3"/>
    </row>
    <row r="2" spans="1:5" ht="18" customHeight="1" x14ac:dyDescent="0.25">
      <c r="A2" s="1" t="s">
        <v>13</v>
      </c>
      <c r="B2" s="2" t="s">
        <v>10</v>
      </c>
      <c r="C2" s="2" t="s">
        <v>15</v>
      </c>
      <c r="D2" s="6" t="s">
        <v>20</v>
      </c>
    </row>
    <row r="3" spans="1:5" ht="18" customHeight="1" x14ac:dyDescent="0.25">
      <c r="A3" s="4" t="s">
        <v>0</v>
      </c>
      <c r="B3" s="5">
        <f>25000*12+82210+4683*12</f>
        <v>438406</v>
      </c>
      <c r="C3" s="3">
        <f>25000*12+35000+3909*12</f>
        <v>381908</v>
      </c>
      <c r="D3" s="7">
        <f t="shared" ref="D3:D16" si="0">B3/C3-1</f>
        <v>0.14793615216230083</v>
      </c>
      <c r="E3" s="7">
        <f>B3/B8</f>
        <v>0.89770335241745913</v>
      </c>
    </row>
    <row r="4" spans="1:5" ht="18" customHeight="1" x14ac:dyDescent="0.25">
      <c r="A4" s="4" t="s">
        <v>1</v>
      </c>
      <c r="B4" s="5">
        <v>3420</v>
      </c>
      <c r="C4" s="3">
        <v>3337</v>
      </c>
      <c r="D4" s="7">
        <f t="shared" si="0"/>
        <v>2.4872640095894516E-2</v>
      </c>
      <c r="E4" s="8">
        <f>B4/'[1]2021年度'!$B$9</f>
        <v>2.0182349296273348E-2</v>
      </c>
    </row>
    <row r="5" spans="1:5" ht="18" customHeight="1" x14ac:dyDescent="0.25">
      <c r="A5" s="4" t="s">
        <v>2</v>
      </c>
      <c r="B5" s="5">
        <f>106529-85561</f>
        <v>20968</v>
      </c>
      <c r="C5" s="3">
        <v>14938</v>
      </c>
      <c r="D5" s="7">
        <f t="shared" si="0"/>
        <v>0.40366849645200165</v>
      </c>
      <c r="E5" s="8">
        <f>B5/'[1]2021年度'!$B$10</f>
        <v>2.6839761452787853E-2</v>
      </c>
    </row>
    <row r="6" spans="1:5" ht="18" customHeight="1" x14ac:dyDescent="0.25">
      <c r="A6" s="4" t="s">
        <v>3</v>
      </c>
      <c r="B6" s="5">
        <f>13200+12370</f>
        <v>25570</v>
      </c>
      <c r="C6" s="3">
        <f>2500+7500</f>
        <v>10000</v>
      </c>
      <c r="D6" s="7">
        <f t="shared" si="0"/>
        <v>1.5569999999999999</v>
      </c>
    </row>
    <row r="7" spans="1:5" ht="18" customHeight="1" x14ac:dyDescent="0.25">
      <c r="A7" s="4" t="s">
        <v>4</v>
      </c>
      <c r="B7" s="5">
        <v>0</v>
      </c>
      <c r="C7" s="3">
        <v>19933</v>
      </c>
      <c r="D7" s="7">
        <f t="shared" si="0"/>
        <v>-1</v>
      </c>
      <c r="E7" s="8">
        <f>[2]投资评估!$E$5</f>
        <v>0.11644833601979127</v>
      </c>
    </row>
    <row r="8" spans="1:5" ht="18" customHeight="1" x14ac:dyDescent="0.25">
      <c r="A8" s="1" t="s">
        <v>11</v>
      </c>
      <c r="B8" s="2">
        <f>SUM(B3:B7)</f>
        <v>488364</v>
      </c>
      <c r="C8" s="2">
        <f>SUM(C3:C7)</f>
        <v>430116</v>
      </c>
      <c r="D8" s="7">
        <f t="shared" si="0"/>
        <v>0.13542393214853665</v>
      </c>
    </row>
    <row r="9" spans="1:5" ht="18" customHeight="1" x14ac:dyDescent="0.25">
      <c r="A9" s="4" t="s">
        <v>5</v>
      </c>
      <c r="B9" s="3">
        <f>3500*12</f>
        <v>42000</v>
      </c>
      <c r="C9" s="3">
        <f>3500*12</f>
        <v>42000</v>
      </c>
      <c r="D9" s="7">
        <f t="shared" si="0"/>
        <v>0</v>
      </c>
    </row>
    <row r="10" spans="1:5" ht="18" customHeight="1" x14ac:dyDescent="0.25">
      <c r="A10" s="4" t="s">
        <v>6</v>
      </c>
      <c r="B10" s="5">
        <f>45*30*12</f>
        <v>16200</v>
      </c>
      <c r="C10" s="3">
        <f>40*30*12</f>
        <v>14400</v>
      </c>
      <c r="D10" s="7">
        <f t="shared" si="0"/>
        <v>0.125</v>
      </c>
    </row>
    <row r="11" spans="1:5" ht="18" customHeight="1" x14ac:dyDescent="0.25">
      <c r="A11" s="4" t="s">
        <v>7</v>
      </c>
      <c r="B11" s="3">
        <f>2000</f>
        <v>2000</v>
      </c>
      <c r="C11" s="3">
        <f>2000</f>
        <v>2000</v>
      </c>
      <c r="D11" s="7">
        <f t="shared" si="0"/>
        <v>0</v>
      </c>
    </row>
    <row r="12" spans="1:5" ht="18" customHeight="1" x14ac:dyDescent="0.25">
      <c r="A12" s="4" t="s">
        <v>17</v>
      </c>
      <c r="B12" s="3">
        <f>(1538+2176)*12+2700*12</f>
        <v>76968</v>
      </c>
      <c r="C12" s="3">
        <f>(1538+2176)*12+2700*12</f>
        <v>76968</v>
      </c>
      <c r="D12" s="7">
        <f t="shared" si="0"/>
        <v>0</v>
      </c>
    </row>
    <row r="13" spans="1:5" ht="18" customHeight="1" x14ac:dyDescent="0.25">
      <c r="A13" s="4" t="s">
        <v>8</v>
      </c>
      <c r="B13" s="5">
        <f>14000+2687+3554</f>
        <v>20241</v>
      </c>
      <c r="C13" s="3">
        <v>18100</v>
      </c>
      <c r="D13" s="7">
        <f t="shared" si="0"/>
        <v>0.11828729281767947</v>
      </c>
    </row>
    <row r="14" spans="1:5" ht="18" customHeight="1" x14ac:dyDescent="0.25">
      <c r="A14" s="1" t="s">
        <v>12</v>
      </c>
      <c r="B14" s="2">
        <f>SUM(B9:B13)</f>
        <v>157409</v>
      </c>
      <c r="C14" s="2">
        <f>SUM(C9:C13)</f>
        <v>153468</v>
      </c>
      <c r="D14" s="7">
        <f t="shared" si="0"/>
        <v>2.5679620507206735E-2</v>
      </c>
    </row>
    <row r="15" spans="1:5" ht="18" customHeight="1" x14ac:dyDescent="0.25">
      <c r="A15" s="1" t="s">
        <v>14</v>
      </c>
      <c r="B15" s="2">
        <f>B8-B14</f>
        <v>330955</v>
      </c>
      <c r="C15" s="2">
        <f>C8-C14</f>
        <v>276648</v>
      </c>
      <c r="D15" s="7"/>
    </row>
    <row r="16" spans="1:5" ht="18" customHeight="1" x14ac:dyDescent="0.25">
      <c r="A16" s="1" t="s">
        <v>16</v>
      </c>
      <c r="B16" s="2">
        <f>SUM(B4:B7)</f>
        <v>49958</v>
      </c>
      <c r="C16" s="2">
        <f>SUM(C4:C7)</f>
        <v>48208</v>
      </c>
      <c r="D16" s="7">
        <f t="shared" si="0"/>
        <v>3.6301028874875518E-2</v>
      </c>
      <c r="E16" s="8">
        <f>B16/B8</f>
        <v>0.10229664758254089</v>
      </c>
    </row>
  </sheetData>
  <phoneticPr fontId="1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0525C-9B6C-4C28-9A65-0DD61F0E38A2}">
  <dimension ref="A1:E16"/>
  <sheetViews>
    <sheetView workbookViewId="0">
      <selection activeCell="B16" sqref="B16"/>
    </sheetView>
  </sheetViews>
  <sheetFormatPr defaultRowHeight="18" customHeight="1" x14ac:dyDescent="0.25"/>
  <cols>
    <col min="1" max="1" width="16" bestFit="1" customWidth="1"/>
    <col min="2" max="3" width="11.6640625" bestFit="1" customWidth="1"/>
    <col min="4" max="4" width="10.5546875" bestFit="1" customWidth="1"/>
  </cols>
  <sheetData>
    <row r="1" spans="1:5" ht="18" customHeight="1" x14ac:dyDescent="0.25">
      <c r="A1" s="1" t="s">
        <v>21</v>
      </c>
      <c r="B1" s="3"/>
      <c r="C1" s="3"/>
    </row>
    <row r="2" spans="1:5" ht="18" customHeight="1" x14ac:dyDescent="0.25">
      <c r="A2" s="1" t="s">
        <v>13</v>
      </c>
      <c r="B2" s="2" t="s">
        <v>10</v>
      </c>
      <c r="C2" s="2" t="s">
        <v>15</v>
      </c>
      <c r="D2" s="6" t="s">
        <v>20</v>
      </c>
    </row>
    <row r="3" spans="1:5" ht="18" customHeight="1" x14ac:dyDescent="0.25">
      <c r="A3" s="4" t="s">
        <v>0</v>
      </c>
      <c r="B3" s="3">
        <f>25000*12+35000+3909*12</f>
        <v>381908</v>
      </c>
      <c r="C3" s="3">
        <f>25405+24112.97+24112+23904+24112+24112+24640+25860+18119+10717</f>
        <v>225093.97</v>
      </c>
      <c r="D3" s="8">
        <f t="shared" ref="D3:D16" si="0">B3/C3-1</f>
        <v>0.69666028814543535</v>
      </c>
      <c r="E3" s="8">
        <f>B3/B8</f>
        <v>0.88791860800342237</v>
      </c>
    </row>
    <row r="4" spans="1:5" ht="18" customHeight="1" x14ac:dyDescent="0.25">
      <c r="A4" s="4" t="s">
        <v>1</v>
      </c>
      <c r="B4" s="3">
        <v>3337</v>
      </c>
      <c r="C4" s="3">
        <v>120</v>
      </c>
      <c r="D4" s="7">
        <f t="shared" si="0"/>
        <v>26.808333333333334</v>
      </c>
    </row>
    <row r="5" spans="1:5" ht="18" customHeight="1" x14ac:dyDescent="0.25">
      <c r="A5" s="4" t="s">
        <v>2</v>
      </c>
      <c r="B5" s="3">
        <v>14938</v>
      </c>
      <c r="C5" s="3">
        <f>1208+1157+1147+1400+1444+1401+1466+1426+1411+1043+1057+1033</f>
        <v>15193</v>
      </c>
      <c r="D5" s="8">
        <f t="shared" si="0"/>
        <v>-1.6784045284012339E-2</v>
      </c>
      <c r="E5" s="8">
        <f>B5/'[1]2020年度'!$B$10</f>
        <v>2.3582455713827895E-2</v>
      </c>
    </row>
    <row r="6" spans="1:5" ht="18" customHeight="1" x14ac:dyDescent="0.25">
      <c r="A6" s="4" t="s">
        <v>3</v>
      </c>
      <c r="B6" s="3">
        <f>2500+7500</f>
        <v>10000</v>
      </c>
      <c r="C6" s="3">
        <f>13200</f>
        <v>13200</v>
      </c>
      <c r="D6" s="7">
        <f t="shared" si="0"/>
        <v>-0.24242424242424243</v>
      </c>
    </row>
    <row r="7" spans="1:5" ht="18" customHeight="1" x14ac:dyDescent="0.25">
      <c r="A7" s="4" t="s">
        <v>4</v>
      </c>
      <c r="B7" s="3">
        <v>19933</v>
      </c>
      <c r="C7" s="3">
        <f>21586</f>
        <v>21586</v>
      </c>
      <c r="D7" s="7">
        <f t="shared" si="0"/>
        <v>-7.6577411285092212E-2</v>
      </c>
      <c r="E7" s="8">
        <f>[2]投资评估!$E$5</f>
        <v>0.11644833601979127</v>
      </c>
    </row>
    <row r="8" spans="1:5" ht="18" customHeight="1" x14ac:dyDescent="0.25">
      <c r="A8" s="1" t="s">
        <v>11</v>
      </c>
      <c r="B8" s="2">
        <f>SUM(B3:B7)</f>
        <v>430116</v>
      </c>
      <c r="C8" s="2">
        <f>SUM(C3:C7)</f>
        <v>275192.96999999997</v>
      </c>
      <c r="D8" s="7">
        <f t="shared" si="0"/>
        <v>0.56296143756869976</v>
      </c>
    </row>
    <row r="9" spans="1:5" ht="18" customHeight="1" x14ac:dyDescent="0.25">
      <c r="A9" s="4" t="s">
        <v>5</v>
      </c>
      <c r="B9" s="3">
        <f>3500*12</f>
        <v>42000</v>
      </c>
      <c r="C9" s="3">
        <f>3500*12</f>
        <v>42000</v>
      </c>
      <c r="D9" s="7">
        <f t="shared" si="0"/>
        <v>0</v>
      </c>
    </row>
    <row r="10" spans="1:5" ht="18" customHeight="1" x14ac:dyDescent="0.25">
      <c r="A10" s="4" t="s">
        <v>6</v>
      </c>
      <c r="B10" s="3">
        <f>40*30*12</f>
        <v>14400</v>
      </c>
      <c r="C10" s="3">
        <f>40*30*12</f>
        <v>14400</v>
      </c>
      <c r="D10" s="7">
        <f t="shared" si="0"/>
        <v>0</v>
      </c>
    </row>
    <row r="11" spans="1:5" ht="18" customHeight="1" x14ac:dyDescent="0.25">
      <c r="A11" s="4" t="s">
        <v>7</v>
      </c>
      <c r="B11" s="3">
        <f>2000</f>
        <v>2000</v>
      </c>
      <c r="C11" s="3">
        <f>2000</f>
        <v>2000</v>
      </c>
      <c r="D11" s="7">
        <f t="shared" si="0"/>
        <v>0</v>
      </c>
    </row>
    <row r="12" spans="1:5" ht="18" customHeight="1" x14ac:dyDescent="0.25">
      <c r="A12" s="4" t="s">
        <v>17</v>
      </c>
      <c r="B12" s="3">
        <f>(1538+2176)*12+2700*12</f>
        <v>76968</v>
      </c>
      <c r="C12" s="3">
        <f>(1538+2176)*12+2700*12</f>
        <v>76968</v>
      </c>
      <c r="D12" s="7">
        <f t="shared" si="0"/>
        <v>0</v>
      </c>
    </row>
    <row r="13" spans="1:5" ht="18" customHeight="1" x14ac:dyDescent="0.25">
      <c r="A13" s="4" t="s">
        <v>8</v>
      </c>
      <c r="B13" s="3">
        <v>18100</v>
      </c>
      <c r="C13" s="3">
        <f>3249+10000+14500+1600+2800+1345+35275+54567+18062</f>
        <v>141398</v>
      </c>
      <c r="D13" s="7">
        <f t="shared" si="0"/>
        <v>-0.87199253171897761</v>
      </c>
    </row>
    <row r="14" spans="1:5" ht="18" customHeight="1" x14ac:dyDescent="0.25">
      <c r="A14" s="1" t="s">
        <v>12</v>
      </c>
      <c r="B14" s="2">
        <f>SUM(B9:B13)</f>
        <v>153468</v>
      </c>
      <c r="C14" s="2">
        <f>SUM(C9:C13)</f>
        <v>276766</v>
      </c>
      <c r="D14" s="7">
        <f t="shared" si="0"/>
        <v>-0.44549547270979817</v>
      </c>
    </row>
    <row r="15" spans="1:5" ht="18" customHeight="1" x14ac:dyDescent="0.25">
      <c r="A15" s="1" t="s">
        <v>14</v>
      </c>
      <c r="B15" s="2">
        <f>B8-B14</f>
        <v>276648</v>
      </c>
      <c r="C15" s="2">
        <f>C8-C14</f>
        <v>-1573.0300000000279</v>
      </c>
      <c r="D15" s="7"/>
    </row>
    <row r="16" spans="1:5" ht="18" customHeight="1" x14ac:dyDescent="0.25">
      <c r="A16" s="1" t="s">
        <v>16</v>
      </c>
      <c r="B16" s="2">
        <f>SUM(B4:B7)</f>
        <v>48208</v>
      </c>
      <c r="C16" s="2">
        <f>SUM(C4:C7)</f>
        <v>50099</v>
      </c>
      <c r="D16" s="7">
        <f t="shared" si="0"/>
        <v>-3.7745264376534471E-2</v>
      </c>
      <c r="E16" s="8">
        <f>B16/B8</f>
        <v>0.11208139199657767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19E5C-17A4-46EE-A12F-899208B48CB7}">
  <dimension ref="A1:D16"/>
  <sheetViews>
    <sheetView workbookViewId="0">
      <selection activeCell="B8" sqref="B8"/>
    </sheetView>
  </sheetViews>
  <sheetFormatPr defaultRowHeight="18" customHeight="1" x14ac:dyDescent="0.25"/>
  <cols>
    <col min="1" max="1" width="16" bestFit="1" customWidth="1"/>
    <col min="2" max="3" width="11.6640625" bestFit="1" customWidth="1"/>
  </cols>
  <sheetData>
    <row r="1" spans="1:4" ht="18" customHeight="1" x14ac:dyDescent="0.25">
      <c r="A1" s="1" t="s">
        <v>18</v>
      </c>
      <c r="B1" s="3"/>
      <c r="C1" s="3"/>
    </row>
    <row r="2" spans="1:4" ht="18" customHeight="1" x14ac:dyDescent="0.25">
      <c r="A2" s="1" t="s">
        <v>13</v>
      </c>
      <c r="B2" s="2" t="s">
        <v>10</v>
      </c>
      <c r="C2" s="2" t="s">
        <v>15</v>
      </c>
    </row>
    <row r="3" spans="1:4" ht="18" customHeight="1" x14ac:dyDescent="0.25">
      <c r="A3" s="4" t="s">
        <v>0</v>
      </c>
      <c r="B3" s="3">
        <f>25405+24112.97+24112+23904+24112+24112+24640+25860+18119+10717</f>
        <v>225093.97</v>
      </c>
      <c r="C3" s="3"/>
    </row>
    <row r="4" spans="1:4" ht="18" customHeight="1" x14ac:dyDescent="0.25">
      <c r="A4" s="4" t="s">
        <v>1</v>
      </c>
      <c r="B4" s="3">
        <v>120</v>
      </c>
      <c r="C4" s="3"/>
    </row>
    <row r="5" spans="1:4" ht="18" customHeight="1" x14ac:dyDescent="0.25">
      <c r="A5" s="4" t="s">
        <v>2</v>
      </c>
      <c r="B5" s="3">
        <f>1208+1157+1147+1400+1444+1401+1466+1426+1411+1043+1057+1033</f>
        <v>15193</v>
      </c>
      <c r="C5" s="3"/>
      <c r="D5" s="3"/>
    </row>
    <row r="6" spans="1:4" ht="18" customHeight="1" x14ac:dyDescent="0.25">
      <c r="A6" s="4" t="s">
        <v>3</v>
      </c>
      <c r="B6" s="3">
        <f>13200</f>
        <v>13200</v>
      </c>
      <c r="C6" s="3"/>
    </row>
    <row r="7" spans="1:4" ht="18" customHeight="1" x14ac:dyDescent="0.25">
      <c r="A7" s="4" t="s">
        <v>4</v>
      </c>
      <c r="B7" s="3">
        <f>21586</f>
        <v>21586</v>
      </c>
      <c r="C7" s="3"/>
    </row>
    <row r="8" spans="1:4" ht="18" customHeight="1" x14ac:dyDescent="0.25">
      <c r="A8" s="1" t="s">
        <v>11</v>
      </c>
      <c r="B8" s="2">
        <f>SUM(B3:B7)</f>
        <v>275192.96999999997</v>
      </c>
      <c r="C8" s="2">
        <v>417110</v>
      </c>
    </row>
    <row r="9" spans="1:4" ht="18" customHeight="1" x14ac:dyDescent="0.25">
      <c r="A9" s="4" t="s">
        <v>5</v>
      </c>
      <c r="B9" s="3">
        <f>3500*12</f>
        <v>42000</v>
      </c>
      <c r="C9" s="3"/>
    </row>
    <row r="10" spans="1:4" ht="18" customHeight="1" x14ac:dyDescent="0.25">
      <c r="A10" s="4" t="s">
        <v>6</v>
      </c>
      <c r="B10" s="3">
        <f>40*30*12</f>
        <v>14400</v>
      </c>
      <c r="C10" s="3"/>
    </row>
    <row r="11" spans="1:4" ht="18" customHeight="1" x14ac:dyDescent="0.25">
      <c r="A11" s="4" t="s">
        <v>7</v>
      </c>
      <c r="B11" s="3">
        <f>2000</f>
        <v>2000</v>
      </c>
      <c r="C11" s="3"/>
    </row>
    <row r="12" spans="1:4" ht="18" customHeight="1" x14ac:dyDescent="0.25">
      <c r="A12" s="4" t="s">
        <v>17</v>
      </c>
      <c r="B12" s="3">
        <f>(1538+2176)*12+2700*12</f>
        <v>76968</v>
      </c>
      <c r="C12" s="3"/>
    </row>
    <row r="13" spans="1:4" ht="18" customHeight="1" x14ac:dyDescent="0.25">
      <c r="A13" s="4" t="s">
        <v>8</v>
      </c>
      <c r="B13" s="3">
        <f>3249+10000+14500+1600+2800+1345+35275+54567+18062</f>
        <v>141398</v>
      </c>
      <c r="C13" s="3"/>
    </row>
    <row r="14" spans="1:4" ht="18" customHeight="1" x14ac:dyDescent="0.25">
      <c r="A14" s="1" t="s">
        <v>12</v>
      </c>
      <c r="B14" s="2">
        <f>SUM(B9:B13)</f>
        <v>276766</v>
      </c>
      <c r="C14" s="2">
        <f>C8-C15</f>
        <v>237110</v>
      </c>
    </row>
    <row r="15" spans="1:4" ht="18" customHeight="1" x14ac:dyDescent="0.25">
      <c r="A15" s="1" t="s">
        <v>14</v>
      </c>
      <c r="B15" s="2">
        <f>B8-B14</f>
        <v>-1573.0300000000279</v>
      </c>
      <c r="C15" s="2">
        <v>180000</v>
      </c>
    </row>
    <row r="16" spans="1:4" ht="18" customHeight="1" x14ac:dyDescent="0.25">
      <c r="A16" s="1" t="s">
        <v>16</v>
      </c>
      <c r="B16" s="2">
        <f>SUM(B4:B6)</f>
        <v>28513</v>
      </c>
      <c r="C16" s="2">
        <v>53000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workbookViewId="0">
      <selection activeCell="B16" sqref="B16"/>
    </sheetView>
  </sheetViews>
  <sheetFormatPr defaultRowHeight="18" customHeight="1" x14ac:dyDescent="0.25"/>
  <cols>
    <col min="1" max="1" width="13.88671875" bestFit="1" customWidth="1"/>
    <col min="2" max="3" width="11.6640625" style="3" bestFit="1" customWidth="1"/>
    <col min="4" max="4" width="8.88671875" style="3"/>
  </cols>
  <sheetData>
    <row r="1" spans="1:4" s="1" customFormat="1" ht="18" customHeight="1" x14ac:dyDescent="0.25">
      <c r="A1" s="1" t="s">
        <v>9</v>
      </c>
      <c r="B1" s="3"/>
      <c r="C1" s="3"/>
      <c r="D1" s="2"/>
    </row>
    <row r="2" spans="1:4" s="1" customFormat="1" ht="18" customHeight="1" x14ac:dyDescent="0.25">
      <c r="A2" s="1" t="s">
        <v>13</v>
      </c>
      <c r="B2" s="2" t="s">
        <v>10</v>
      </c>
      <c r="C2" s="2" t="s">
        <v>15</v>
      </c>
    </row>
    <row r="3" spans="1:4" ht="18" customHeight="1" x14ac:dyDescent="0.25">
      <c r="A3" s="4" t="s">
        <v>0</v>
      </c>
      <c r="B3" s="3">
        <f>130000+21000+116119.54</f>
        <v>267119.53999999998</v>
      </c>
    </row>
    <row r="4" spans="1:4" ht="18" customHeight="1" x14ac:dyDescent="0.25">
      <c r="A4" s="4" t="s">
        <v>1</v>
      </c>
      <c r="B4" s="3">
        <v>6090</v>
      </c>
    </row>
    <row r="5" spans="1:4" ht="18" customHeight="1" x14ac:dyDescent="0.25">
      <c r="A5" s="4" t="s">
        <v>2</v>
      </c>
      <c r="B5" s="3">
        <f>17500</f>
        <v>17500</v>
      </c>
    </row>
    <row r="6" spans="1:4" ht="18" customHeight="1" x14ac:dyDescent="0.25">
      <c r="A6" s="4" t="s">
        <v>3</v>
      </c>
      <c r="B6" s="3">
        <f>28800+600</f>
        <v>29400</v>
      </c>
    </row>
    <row r="7" spans="1:4" ht="18" customHeight="1" x14ac:dyDescent="0.25">
      <c r="A7" s="4" t="s">
        <v>4</v>
      </c>
      <c r="B7" s="3">
        <f>85000+1200</f>
        <v>86200</v>
      </c>
    </row>
    <row r="8" spans="1:4" ht="18" customHeight="1" x14ac:dyDescent="0.25">
      <c r="A8" s="1" t="s">
        <v>11</v>
      </c>
      <c r="B8" s="2">
        <f>SUM(B3:B7)</f>
        <v>406309.54</v>
      </c>
      <c r="C8" s="2">
        <v>470000</v>
      </c>
    </row>
    <row r="9" spans="1:4" ht="18" customHeight="1" x14ac:dyDescent="0.25">
      <c r="A9" s="4" t="s">
        <v>5</v>
      </c>
      <c r="B9" s="3">
        <f>3000*12</f>
        <v>36000</v>
      </c>
      <c r="D9" s="2"/>
    </row>
    <row r="10" spans="1:4" ht="18" customHeight="1" x14ac:dyDescent="0.25">
      <c r="A10" s="4" t="s">
        <v>6</v>
      </c>
      <c r="B10" s="3">
        <v>9700</v>
      </c>
      <c r="D10" s="2"/>
    </row>
    <row r="11" spans="1:4" ht="18" customHeight="1" x14ac:dyDescent="0.25">
      <c r="A11" s="4" t="s">
        <v>7</v>
      </c>
      <c r="B11" s="3">
        <v>5000</v>
      </c>
      <c r="D11" s="2"/>
    </row>
    <row r="12" spans="1:4" ht="18" customHeight="1" x14ac:dyDescent="0.25">
      <c r="A12" s="4" t="s">
        <v>17</v>
      </c>
      <c r="B12" s="3">
        <f>2600*12+3700*3</f>
        <v>42300</v>
      </c>
      <c r="D12" s="2"/>
    </row>
    <row r="13" spans="1:4" ht="18" customHeight="1" x14ac:dyDescent="0.25">
      <c r="A13" s="4" t="s">
        <v>19</v>
      </c>
      <c r="B13" s="5">
        <f>B14-SUM(B9:B12)</f>
        <v>133309.53999999998</v>
      </c>
      <c r="D13" s="2"/>
    </row>
    <row r="14" spans="1:4" ht="18" customHeight="1" x14ac:dyDescent="0.25">
      <c r="A14" s="1" t="s">
        <v>12</v>
      </c>
      <c r="B14" s="2">
        <f>B8-B15</f>
        <v>226309.53999999998</v>
      </c>
      <c r="C14" s="2"/>
      <c r="D14" s="2"/>
    </row>
    <row r="15" spans="1:4" ht="18" customHeight="1" x14ac:dyDescent="0.25">
      <c r="A15" s="1" t="s">
        <v>14</v>
      </c>
      <c r="B15" s="2">
        <v>180000</v>
      </c>
      <c r="C15" s="2">
        <v>400000</v>
      </c>
    </row>
    <row r="16" spans="1:4" ht="18" customHeight="1" x14ac:dyDescent="0.25">
      <c r="A16" s="1" t="s">
        <v>16</v>
      </c>
      <c r="B16" s="2">
        <v>53000</v>
      </c>
      <c r="C16" s="2">
        <v>40000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2023年度</vt:lpstr>
      <vt:lpstr>2022年度</vt:lpstr>
      <vt:lpstr>2021年度</vt:lpstr>
      <vt:lpstr>2020年度</vt:lpstr>
      <vt:lpstr>2019年度</vt:lpstr>
      <vt:lpstr>2018年度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hdusr</dc:creator>
  <cp:lastModifiedBy>xw T</cp:lastModifiedBy>
  <dcterms:created xsi:type="dcterms:W3CDTF">2015-06-05T18:19:34Z</dcterms:created>
  <dcterms:modified xsi:type="dcterms:W3CDTF">2024-04-02T15:07:30Z</dcterms:modified>
</cp:coreProperties>
</file>